
<file path=[Content_Types].xml><?xml version="1.0" encoding="utf-8"?>
<Types xmlns="http://schemas.openxmlformats.org/package/2006/content-types">
  <Default Extension="bin" ContentType="application/vnd.openxmlformats-officedocument.spreadsheetml.printerSettings"/>
  <Default Extension="xls" ContentType="application/vnd.ms-excel"/>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charts/chart4.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02_Управление БРиБП\02_ЗАКОН О БЮДЖЕТЕ\2024\ИСПОЛНЕНИЕ\Материалы\"/>
    </mc:Choice>
  </mc:AlternateContent>
  <bookViews>
    <workbookView xWindow="-120" yWindow="-120" windowWidth="29040" windowHeight="15840"/>
  </bookViews>
  <sheets>
    <sheet name="1. Показатели" sheetId="23" r:id="rId1"/>
    <sheet name="2.ПП" sheetId="28" r:id="rId2"/>
    <sheet name="3. ОКС" sheetId="31" r:id="rId3"/>
    <sheet name="4. Оценка" sheetId="22" r:id="rId4"/>
    <sheet name="Лист2" sheetId="29" state="hidden" r:id="rId5"/>
  </sheets>
  <externalReferences>
    <externalReference r:id="rId6"/>
  </externalReferences>
  <definedNames>
    <definedName name="_xlnm._FilterDatabase" localSheetId="0" hidden="1">'1. Показатели'!$A$4:$O$491</definedName>
    <definedName name="_xlnm._FilterDatabase" localSheetId="3" hidden="1">'4. Оценка'!$A$1:$T$93</definedName>
    <definedName name="_xlnm._FilterDatabase" localSheetId="4" hidden="1">Лист2!#REF!</definedName>
    <definedName name="_xlnm.Print_Titles" localSheetId="0">'1. Показатели'!$4:$5</definedName>
    <definedName name="_xlnm.Print_Titles" localSheetId="1">'2.ПП'!$4:$5</definedName>
    <definedName name="_xlnm.Print_Titles" localSheetId="2">'3. ОКС'!$3:$4</definedName>
    <definedName name="_xlnm.Print_Titles" localSheetId="3">'4. Оценка'!$5:$7</definedName>
    <definedName name="_xlnm.Print_Area" localSheetId="0">'1. Показатели'!$A$1:$L$503</definedName>
    <definedName name="_xlnm.Print_Area" localSheetId="3">'4. Оценка'!$A$1:$T$93</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L417" i="31" l="1"/>
  <c r="L416" i="31"/>
  <c r="K415" i="31"/>
  <c r="K407" i="31" s="1"/>
  <c r="K406" i="31" s="1"/>
  <c r="J415" i="31"/>
  <c r="L415" i="31" s="1"/>
  <c r="I415" i="31"/>
  <c r="H415" i="31"/>
  <c r="G415" i="31"/>
  <c r="K413" i="31"/>
  <c r="J413" i="31"/>
  <c r="I413" i="31"/>
  <c r="H413" i="31"/>
  <c r="H411" i="31" s="1"/>
  <c r="G413" i="31"/>
  <c r="K412" i="31"/>
  <c r="J412" i="31"/>
  <c r="L412" i="31" s="1"/>
  <c r="I412" i="31"/>
  <c r="I411" i="31" s="1"/>
  <c r="H412" i="31"/>
  <c r="G412" i="31"/>
  <c r="K411" i="31"/>
  <c r="G411" i="31"/>
  <c r="K410" i="31"/>
  <c r="J410" i="31"/>
  <c r="I410" i="31"/>
  <c r="I406" i="31" s="1"/>
  <c r="H410" i="31"/>
  <c r="K409" i="31"/>
  <c r="K408" i="31"/>
  <c r="L407" i="31"/>
  <c r="J406" i="31"/>
  <c r="L406" i="31" s="1"/>
  <c r="H406" i="31"/>
  <c r="G406" i="31"/>
  <c r="K405" i="31"/>
  <c r="I395" i="31" s="1"/>
  <c r="I391" i="31" s="1"/>
  <c r="J405" i="31"/>
  <c r="I405" i="31"/>
  <c r="H405" i="31"/>
  <c r="L403" i="31"/>
  <c r="L402" i="31"/>
  <c r="J401" i="31"/>
  <c r="L401" i="31" s="1"/>
  <c r="I401" i="31"/>
  <c r="H401" i="31"/>
  <c r="G401" i="31"/>
  <c r="K400" i="31"/>
  <c r="K396" i="31" s="1"/>
  <c r="J400" i="31"/>
  <c r="I400" i="31"/>
  <c r="H400" i="31"/>
  <c r="L397" i="31"/>
  <c r="J397" i="31"/>
  <c r="J396" i="31" s="1"/>
  <c r="L396" i="31" s="1"/>
  <c r="I397" i="31"/>
  <c r="G397" i="31"/>
  <c r="I396" i="31"/>
  <c r="H396" i="31"/>
  <c r="G396" i="31"/>
  <c r="L393" i="31"/>
  <c r="L392" i="31"/>
  <c r="K391" i="31"/>
  <c r="J391" i="31"/>
  <c r="H391" i="31"/>
  <c r="L391" i="31" s="1"/>
  <c r="G391" i="31"/>
  <c r="K390" i="31"/>
  <c r="J390" i="31"/>
  <c r="J386" i="31" s="1"/>
  <c r="L386" i="31" s="1"/>
  <c r="I390" i="31"/>
  <c r="H390" i="31"/>
  <c r="L387" i="31"/>
  <c r="G387" i="31"/>
  <c r="G386" i="31" s="1"/>
  <c r="G371" i="31" s="1"/>
  <c r="K386" i="31"/>
  <c r="I386" i="31"/>
  <c r="H386" i="31"/>
  <c r="K385" i="31"/>
  <c r="H385" i="31"/>
  <c r="H381" i="31" s="1"/>
  <c r="H371" i="31" s="1"/>
  <c r="L382" i="31"/>
  <c r="G382" i="31"/>
  <c r="J381" i="31"/>
  <c r="J371" i="31" s="1"/>
  <c r="L371" i="31" s="1"/>
  <c r="I381" i="31"/>
  <c r="G381" i="31"/>
  <c r="L377" i="31"/>
  <c r="K376" i="31"/>
  <c r="J376" i="31"/>
  <c r="I376" i="31"/>
  <c r="H376" i="31"/>
  <c r="L376" i="31" s="1"/>
  <c r="G376" i="31"/>
  <c r="J373" i="31"/>
  <c r="L373" i="31" s="1"/>
  <c r="I373" i="31"/>
  <c r="H373" i="31"/>
  <c r="G373" i="31"/>
  <c r="L372" i="31"/>
  <c r="J372" i="31"/>
  <c r="I372" i="31"/>
  <c r="H372" i="31"/>
  <c r="G372" i="31"/>
  <c r="L370" i="31"/>
  <c r="G370" i="31"/>
  <c r="K366" i="31"/>
  <c r="J366" i="31"/>
  <c r="I366" i="31"/>
  <c r="H366" i="31"/>
  <c r="L366" i="31" s="1"/>
  <c r="G366" i="31"/>
  <c r="J364" i="31"/>
  <c r="I364" i="31"/>
  <c r="I9" i="31" s="1"/>
  <c r="H364" i="31"/>
  <c r="L364" i="31" s="1"/>
  <c r="G364" i="31"/>
  <c r="J363" i="31"/>
  <c r="I363" i="31"/>
  <c r="H363" i="31"/>
  <c r="J362" i="31"/>
  <c r="I362" i="31"/>
  <c r="H362" i="31"/>
  <c r="L362" i="31" s="1"/>
  <c r="G362" i="31"/>
  <c r="K357" i="31"/>
  <c r="J357" i="31"/>
  <c r="L357" i="31" s="1"/>
  <c r="I357" i="31"/>
  <c r="H357" i="31"/>
  <c r="G357" i="31"/>
  <c r="K352" i="31"/>
  <c r="J352" i="31"/>
  <c r="I352" i="31"/>
  <c r="H352" i="31"/>
  <c r="L352" i="31" s="1"/>
  <c r="G352" i="31"/>
  <c r="K347" i="31"/>
  <c r="J347" i="31"/>
  <c r="L347" i="31" s="1"/>
  <c r="I347" i="31"/>
  <c r="H347" i="31"/>
  <c r="G347" i="31"/>
  <c r="K344" i="31"/>
  <c r="J344" i="31"/>
  <c r="I344" i="31"/>
  <c r="L344" i="31" s="1"/>
  <c r="H344" i="31"/>
  <c r="G344" i="31"/>
  <c r="K341" i="31"/>
  <c r="J341" i="31"/>
  <c r="L341" i="31" s="1"/>
  <c r="I341" i="31"/>
  <c r="H341" i="31"/>
  <c r="G341" i="31"/>
  <c r="K338" i="31"/>
  <c r="J338" i="31"/>
  <c r="L338" i="31" s="1"/>
  <c r="I338" i="31"/>
  <c r="H338" i="31"/>
  <c r="G338" i="31"/>
  <c r="K335" i="31"/>
  <c r="J335" i="31"/>
  <c r="L335" i="31" s="1"/>
  <c r="I335" i="31"/>
  <c r="H335" i="31"/>
  <c r="G335" i="31"/>
  <c r="K332" i="31"/>
  <c r="J332" i="31"/>
  <c r="I332" i="31"/>
  <c r="H332" i="31"/>
  <c r="L332" i="31" s="1"/>
  <c r="G332" i="31"/>
  <c r="K329" i="31"/>
  <c r="J329" i="31"/>
  <c r="L329" i="31" s="1"/>
  <c r="I329" i="31"/>
  <c r="H329" i="31"/>
  <c r="G329" i="31"/>
  <c r="K327" i="31"/>
  <c r="K326" i="31" s="1"/>
  <c r="J326" i="31"/>
  <c r="L326" i="31" s="1"/>
  <c r="I326" i="31"/>
  <c r="H326" i="31"/>
  <c r="G326" i="31"/>
  <c r="L321" i="31"/>
  <c r="K321" i="31"/>
  <c r="J321" i="31"/>
  <c r="I321" i="31"/>
  <c r="H321" i="31"/>
  <c r="G321" i="31"/>
  <c r="K318" i="31"/>
  <c r="J318" i="31"/>
  <c r="L318" i="31" s="1"/>
  <c r="I318" i="31"/>
  <c r="H318" i="31"/>
  <c r="G318" i="31"/>
  <c r="K315" i="31"/>
  <c r="J315" i="31"/>
  <c r="I315" i="31"/>
  <c r="H315" i="31"/>
  <c r="L315" i="31" s="1"/>
  <c r="G315" i="31"/>
  <c r="K310" i="31"/>
  <c r="J310" i="31"/>
  <c r="L310" i="31" s="1"/>
  <c r="I310" i="31"/>
  <c r="H310" i="31"/>
  <c r="G310" i="31"/>
  <c r="L305" i="31"/>
  <c r="K305" i="31"/>
  <c r="J305" i="31"/>
  <c r="I305" i="31"/>
  <c r="H305" i="31"/>
  <c r="G305" i="31"/>
  <c r="K301" i="31"/>
  <c r="J301" i="31"/>
  <c r="L301" i="31" s="1"/>
  <c r="I301" i="31"/>
  <c r="H301" i="31"/>
  <c r="G301" i="31"/>
  <c r="L299" i="31"/>
  <c r="K299" i="31"/>
  <c r="J299" i="31"/>
  <c r="I299" i="31"/>
  <c r="H299" i="31"/>
  <c r="G299" i="31"/>
  <c r="K297" i="31"/>
  <c r="J297" i="31"/>
  <c r="L297" i="31" s="1"/>
  <c r="I297" i="31"/>
  <c r="H297" i="31"/>
  <c r="G297" i="31"/>
  <c r="K295" i="31"/>
  <c r="J295" i="31"/>
  <c r="I295" i="31"/>
  <c r="H295" i="31"/>
  <c r="L295" i="31" s="1"/>
  <c r="G295" i="31"/>
  <c r="K293" i="31"/>
  <c r="J293" i="31"/>
  <c r="L293" i="31" s="1"/>
  <c r="I293" i="31"/>
  <c r="H293" i="31"/>
  <c r="G293" i="31"/>
  <c r="K291" i="31"/>
  <c r="J291" i="31"/>
  <c r="I291" i="31"/>
  <c r="H291" i="31"/>
  <c r="L291" i="31" s="1"/>
  <c r="G291" i="31"/>
  <c r="K287" i="31"/>
  <c r="J287" i="31"/>
  <c r="L287" i="31" s="1"/>
  <c r="I287" i="31"/>
  <c r="H287" i="31"/>
  <c r="G287" i="31"/>
  <c r="K283" i="31"/>
  <c r="J283" i="31"/>
  <c r="I283" i="31"/>
  <c r="H283" i="31"/>
  <c r="L283" i="31" s="1"/>
  <c r="G283" i="31"/>
  <c r="K279" i="31"/>
  <c r="J279" i="31"/>
  <c r="L279" i="31" s="1"/>
  <c r="I279" i="31"/>
  <c r="H279" i="31"/>
  <c r="G279" i="31"/>
  <c r="K275" i="31"/>
  <c r="J275" i="31"/>
  <c r="I275" i="31"/>
  <c r="H275" i="31"/>
  <c r="L275" i="31" s="1"/>
  <c r="G275" i="31"/>
  <c r="K271" i="31"/>
  <c r="J271" i="31"/>
  <c r="L271" i="31" s="1"/>
  <c r="I271" i="31"/>
  <c r="H271" i="31"/>
  <c r="G271" i="31"/>
  <c r="K267" i="31"/>
  <c r="J267" i="31"/>
  <c r="I267" i="31"/>
  <c r="H267" i="31"/>
  <c r="L267" i="31" s="1"/>
  <c r="G267" i="31"/>
  <c r="K263" i="31"/>
  <c r="J263" i="31"/>
  <c r="L263" i="31" s="1"/>
  <c r="I263" i="31"/>
  <c r="H263" i="31"/>
  <c r="G263" i="31"/>
  <c r="K259" i="31"/>
  <c r="J259" i="31"/>
  <c r="I259" i="31"/>
  <c r="H259" i="31"/>
  <c r="L259" i="31" s="1"/>
  <c r="G259" i="31"/>
  <c r="K256" i="31"/>
  <c r="J256" i="31"/>
  <c r="L256" i="31" s="1"/>
  <c r="I256" i="31"/>
  <c r="H256" i="31"/>
  <c r="G256" i="31"/>
  <c r="K253" i="31"/>
  <c r="J253" i="31"/>
  <c r="I253" i="31"/>
  <c r="H253" i="31"/>
  <c r="G253" i="31"/>
  <c r="K250" i="31"/>
  <c r="J250" i="31"/>
  <c r="L250" i="31" s="1"/>
  <c r="I250" i="31"/>
  <c r="H250" i="31"/>
  <c r="G250" i="31"/>
  <c r="K244" i="31"/>
  <c r="L244" i="31" s="1"/>
  <c r="J244" i="31"/>
  <c r="I244" i="31"/>
  <c r="H244" i="31"/>
  <c r="G244" i="31"/>
  <c r="K239" i="31"/>
  <c r="J239" i="31"/>
  <c r="I239" i="31"/>
  <c r="H239" i="31"/>
  <c r="G239" i="31"/>
  <c r="J235" i="31"/>
  <c r="K234" i="31"/>
  <c r="J234" i="31"/>
  <c r="L234" i="31" s="1"/>
  <c r="I234" i="31"/>
  <c r="H234" i="31"/>
  <c r="G234" i="31"/>
  <c r="J230" i="31"/>
  <c r="K229" i="31"/>
  <c r="J229" i="31"/>
  <c r="L229" i="31" s="1"/>
  <c r="I229" i="31"/>
  <c r="H229" i="31"/>
  <c r="G229" i="31"/>
  <c r="L224" i="31"/>
  <c r="K224" i="31"/>
  <c r="J224" i="31"/>
  <c r="I224" i="31"/>
  <c r="H224" i="31"/>
  <c r="G224" i="31"/>
  <c r="K219" i="31"/>
  <c r="J219" i="31"/>
  <c r="L219" i="31" s="1"/>
  <c r="I219" i="31"/>
  <c r="H219" i="31"/>
  <c r="G219" i="31"/>
  <c r="I215" i="31"/>
  <c r="K214" i="31"/>
  <c r="J214" i="31"/>
  <c r="L214" i="31" s="1"/>
  <c r="I214" i="31"/>
  <c r="H214" i="31"/>
  <c r="G214" i="31"/>
  <c r="J210" i="31"/>
  <c r="J209" i="31" s="1"/>
  <c r="L209" i="31" s="1"/>
  <c r="K209" i="31"/>
  <c r="I209" i="31"/>
  <c r="H209" i="31"/>
  <c r="G209" i="31"/>
  <c r="I206" i="31"/>
  <c r="K205" i="31"/>
  <c r="J205" i="31"/>
  <c r="L205" i="31" s="1"/>
  <c r="I205" i="31"/>
  <c r="H205" i="31"/>
  <c r="G205" i="31"/>
  <c r="K201" i="31"/>
  <c r="J201" i="31"/>
  <c r="L201" i="31" s="1"/>
  <c r="I201" i="31"/>
  <c r="H201" i="31"/>
  <c r="G201" i="31"/>
  <c r="K197" i="31"/>
  <c r="J197" i="31"/>
  <c r="L197" i="31" s="1"/>
  <c r="I197" i="31"/>
  <c r="H197" i="31"/>
  <c r="G197" i="31"/>
  <c r="I194" i="31"/>
  <c r="K193" i="31"/>
  <c r="J193" i="31"/>
  <c r="L193" i="31" s="1"/>
  <c r="I193" i="31"/>
  <c r="H193" i="31"/>
  <c r="G193" i="31"/>
  <c r="K189" i="31"/>
  <c r="J189" i="31"/>
  <c r="I189" i="31"/>
  <c r="H189" i="31"/>
  <c r="L189" i="31" s="1"/>
  <c r="G189" i="31"/>
  <c r="K185" i="31"/>
  <c r="J185" i="31"/>
  <c r="L185" i="31" s="1"/>
  <c r="I185" i="31"/>
  <c r="H185" i="31"/>
  <c r="G185" i="31"/>
  <c r="L181" i="31"/>
  <c r="K181" i="31"/>
  <c r="J181" i="31"/>
  <c r="I181" i="31"/>
  <c r="H181" i="31"/>
  <c r="G181" i="31"/>
  <c r="K177" i="31"/>
  <c r="J177" i="31"/>
  <c r="L177" i="31" s="1"/>
  <c r="I177" i="31"/>
  <c r="H177" i="31"/>
  <c r="G177" i="31"/>
  <c r="L174" i="31"/>
  <c r="K174" i="31"/>
  <c r="J174" i="31"/>
  <c r="I174" i="31"/>
  <c r="H174" i="31"/>
  <c r="G174" i="31"/>
  <c r="K172" i="31"/>
  <c r="J172" i="31"/>
  <c r="L172" i="31" s="1"/>
  <c r="I172" i="31"/>
  <c r="H172" i="31"/>
  <c r="G172" i="31"/>
  <c r="K169" i="31"/>
  <c r="J169" i="31"/>
  <c r="I169" i="31"/>
  <c r="H169" i="31"/>
  <c r="G169" i="31"/>
  <c r="K166" i="31"/>
  <c r="J166" i="31"/>
  <c r="L166" i="31" s="1"/>
  <c r="I166" i="31"/>
  <c r="H166" i="31"/>
  <c r="G166" i="31"/>
  <c r="K163" i="31"/>
  <c r="J163" i="31"/>
  <c r="I163" i="31"/>
  <c r="H163" i="31"/>
  <c r="G163" i="31"/>
  <c r="L160" i="31"/>
  <c r="K160" i="31"/>
  <c r="J160" i="31"/>
  <c r="I160" i="31"/>
  <c r="H160" i="31"/>
  <c r="G160" i="31"/>
  <c r="K155" i="31"/>
  <c r="J155" i="31"/>
  <c r="L155" i="31" s="1"/>
  <c r="I155" i="31"/>
  <c r="H155" i="31"/>
  <c r="G155" i="31"/>
  <c r="I152" i="31"/>
  <c r="I134" i="31" s="1"/>
  <c r="I8" i="31" s="1"/>
  <c r="K149" i="31"/>
  <c r="J149" i="31"/>
  <c r="L149" i="31" s="1"/>
  <c r="I149" i="31"/>
  <c r="H149" i="31"/>
  <c r="G149" i="31"/>
  <c r="L145" i="31"/>
  <c r="I145" i="31"/>
  <c r="I132" i="31" s="1"/>
  <c r="K144" i="31"/>
  <c r="J144" i="31"/>
  <c r="H144" i="31"/>
  <c r="L144" i="31" s="1"/>
  <c r="G144" i="31"/>
  <c r="J140" i="31"/>
  <c r="K139" i="31"/>
  <c r="J139" i="31"/>
  <c r="I139" i="31"/>
  <c r="H139" i="31"/>
  <c r="G139" i="31"/>
  <c r="K137" i="31"/>
  <c r="I137" i="31"/>
  <c r="H137" i="31"/>
  <c r="G137" i="31"/>
  <c r="J135" i="31"/>
  <c r="L135" i="31" s="1"/>
  <c r="I135" i="31"/>
  <c r="H135" i="31"/>
  <c r="H9" i="31" s="1"/>
  <c r="G135" i="31"/>
  <c r="K134" i="31"/>
  <c r="J134" i="31"/>
  <c r="L134" i="31" s="1"/>
  <c r="H134" i="31"/>
  <c r="G134" i="31"/>
  <c r="K133" i="31"/>
  <c r="J133" i="31"/>
  <c r="I133" i="31"/>
  <c r="H133" i="31"/>
  <c r="L133" i="31" s="1"/>
  <c r="G133" i="31"/>
  <c r="K132" i="31"/>
  <c r="J132" i="31"/>
  <c r="L132" i="31" s="1"/>
  <c r="H132" i="31"/>
  <c r="G132" i="31"/>
  <c r="K131" i="31"/>
  <c r="H131" i="31"/>
  <c r="G131" i="31"/>
  <c r="L130" i="31"/>
  <c r="J129" i="31"/>
  <c r="L129" i="31" s="1"/>
  <c r="I129" i="31"/>
  <c r="L128" i="31"/>
  <c r="K128" i="31"/>
  <c r="L127" i="31"/>
  <c r="K126" i="31"/>
  <c r="I126" i="31"/>
  <c r="H126" i="31"/>
  <c r="G126" i="31"/>
  <c r="B126" i="31"/>
  <c r="L125" i="31"/>
  <c r="J125" i="31"/>
  <c r="I125" i="31"/>
  <c r="H125" i="31"/>
  <c r="H121" i="31" s="1"/>
  <c r="L124" i="31"/>
  <c r="J123" i="31"/>
  <c r="L123" i="31" s="1"/>
  <c r="I123" i="31"/>
  <c r="L122" i="31"/>
  <c r="K121" i="31"/>
  <c r="J121" i="31"/>
  <c r="I121" i="31"/>
  <c r="G121" i="31"/>
  <c r="B121" i="31"/>
  <c r="L120" i="31"/>
  <c r="L119" i="31"/>
  <c r="L118" i="31"/>
  <c r="L117" i="31"/>
  <c r="K116" i="31"/>
  <c r="J116" i="31"/>
  <c r="I116" i="31"/>
  <c r="H116" i="31"/>
  <c r="L116" i="31" s="1"/>
  <c r="G116" i="31"/>
  <c r="L115" i="31"/>
  <c r="L114" i="31"/>
  <c r="L113" i="31"/>
  <c r="L112" i="31"/>
  <c r="G112" i="31"/>
  <c r="K111" i="31"/>
  <c r="J111" i="31"/>
  <c r="I111" i="31"/>
  <c r="H111" i="31"/>
  <c r="L111" i="31" s="1"/>
  <c r="G111" i="31"/>
  <c r="L108" i="31"/>
  <c r="G108" i="31"/>
  <c r="L107" i="31"/>
  <c r="K107" i="31"/>
  <c r="J107" i="31"/>
  <c r="H107" i="31"/>
  <c r="G107" i="31"/>
  <c r="I105" i="31"/>
  <c r="H105" i="31"/>
  <c r="G105" i="31"/>
  <c r="J104" i="31"/>
  <c r="L104" i="31" s="1"/>
  <c r="I104" i="31"/>
  <c r="H104" i="31"/>
  <c r="G104" i="31"/>
  <c r="K103" i="31"/>
  <c r="J103" i="31"/>
  <c r="I103" i="31"/>
  <c r="H103" i="31"/>
  <c r="G103" i="31"/>
  <c r="K102" i="31"/>
  <c r="J102" i="31"/>
  <c r="L102" i="31" s="1"/>
  <c r="I102" i="31"/>
  <c r="I101" i="31" s="1"/>
  <c r="H102" i="31"/>
  <c r="G102" i="31"/>
  <c r="K101" i="31"/>
  <c r="H101" i="31"/>
  <c r="G101" i="31"/>
  <c r="L97" i="31"/>
  <c r="K96" i="31"/>
  <c r="J96" i="31"/>
  <c r="L96" i="31" s="1"/>
  <c r="I96" i="31"/>
  <c r="H96" i="31"/>
  <c r="G96" i="31"/>
  <c r="L92" i="31"/>
  <c r="K91" i="31"/>
  <c r="J91" i="31"/>
  <c r="L91" i="31" s="1"/>
  <c r="I91" i="31"/>
  <c r="H91" i="31"/>
  <c r="G91" i="31"/>
  <c r="J89" i="31"/>
  <c r="L87" i="31"/>
  <c r="J87" i="31"/>
  <c r="K86" i="31"/>
  <c r="J86" i="31"/>
  <c r="L86" i="31" s="1"/>
  <c r="I86" i="31"/>
  <c r="H86" i="31"/>
  <c r="G86" i="31"/>
  <c r="K81" i="31"/>
  <c r="J81" i="31"/>
  <c r="I81" i="31"/>
  <c r="H81" i="31"/>
  <c r="L81" i="31" s="1"/>
  <c r="G81" i="31"/>
  <c r="K79" i="31"/>
  <c r="K78" i="31"/>
  <c r="K77" i="31"/>
  <c r="K76" i="31" s="1"/>
  <c r="J76" i="31"/>
  <c r="L76" i="31" s="1"/>
  <c r="I76" i="31"/>
  <c r="H76" i="31"/>
  <c r="G76" i="31"/>
  <c r="L75" i="31"/>
  <c r="L74" i="31"/>
  <c r="K73" i="31"/>
  <c r="J73" i="31"/>
  <c r="L73" i="31" s="1"/>
  <c r="I73" i="31"/>
  <c r="H73" i="31"/>
  <c r="G73" i="31"/>
  <c r="L69" i="31"/>
  <c r="K69" i="31"/>
  <c r="J69" i="31"/>
  <c r="I69" i="31"/>
  <c r="H69" i="31"/>
  <c r="G69" i="31"/>
  <c r="I67" i="31"/>
  <c r="H67" i="31"/>
  <c r="K66" i="31"/>
  <c r="J66" i="31"/>
  <c r="I66" i="31"/>
  <c r="H66" i="31"/>
  <c r="H8" i="31" s="1"/>
  <c r="G66" i="31"/>
  <c r="K65" i="31"/>
  <c r="J65" i="31"/>
  <c r="J7" i="31" s="1"/>
  <c r="I65" i="31"/>
  <c r="H65" i="31"/>
  <c r="G65" i="31"/>
  <c r="K64" i="31"/>
  <c r="K63" i="31" s="1"/>
  <c r="J64" i="31"/>
  <c r="I64" i="31"/>
  <c r="H64" i="31"/>
  <c r="H6" i="31" s="1"/>
  <c r="G64" i="31"/>
  <c r="G63" i="31" s="1"/>
  <c r="J63" i="31"/>
  <c r="I63" i="31"/>
  <c r="L60" i="31"/>
  <c r="K58" i="31"/>
  <c r="J58" i="31"/>
  <c r="I58" i="31"/>
  <c r="I45" i="31" s="1"/>
  <c r="H58" i="31"/>
  <c r="L58" i="31" s="1"/>
  <c r="G58" i="31"/>
  <c r="L55" i="31"/>
  <c r="L54" i="31"/>
  <c r="K54" i="31"/>
  <c r="J54" i="31"/>
  <c r="I54" i="31"/>
  <c r="H54" i="31"/>
  <c r="G54" i="31"/>
  <c r="L51" i="31"/>
  <c r="K50" i="31"/>
  <c r="J50" i="31"/>
  <c r="L50" i="31" s="1"/>
  <c r="I50" i="31"/>
  <c r="H50" i="31"/>
  <c r="G50" i="31"/>
  <c r="K48" i="31"/>
  <c r="J48" i="31"/>
  <c r="I48" i="31"/>
  <c r="H48" i="31"/>
  <c r="L48" i="31" s="1"/>
  <c r="G48" i="31"/>
  <c r="K47" i="31"/>
  <c r="J47" i="31"/>
  <c r="L47" i="31" s="1"/>
  <c r="I47" i="31"/>
  <c r="H47" i="31"/>
  <c r="G47" i="31"/>
  <c r="K46" i="31"/>
  <c r="J46" i="31"/>
  <c r="I46" i="31"/>
  <c r="H46" i="31"/>
  <c r="L46" i="31" s="1"/>
  <c r="G46" i="31"/>
  <c r="K45" i="31"/>
  <c r="J45" i="31"/>
  <c r="G45" i="31"/>
  <c r="L44" i="31"/>
  <c r="L43" i="31"/>
  <c r="L42" i="31"/>
  <c r="L41" i="31"/>
  <c r="K40" i="31"/>
  <c r="J40" i="31"/>
  <c r="I40" i="31"/>
  <c r="H40" i="31"/>
  <c r="L40" i="31" s="1"/>
  <c r="G40" i="31"/>
  <c r="L39" i="31"/>
  <c r="G39" i="31"/>
  <c r="G35" i="31" s="1"/>
  <c r="L38" i="31"/>
  <c r="L37" i="31"/>
  <c r="L36" i="31"/>
  <c r="K35" i="31"/>
  <c r="J35" i="31"/>
  <c r="I35" i="31"/>
  <c r="H35" i="31"/>
  <c r="L35" i="31" s="1"/>
  <c r="L34" i="31"/>
  <c r="G34" i="31"/>
  <c r="L33" i="31"/>
  <c r="L32" i="31"/>
  <c r="I31" i="31"/>
  <c r="I11" i="31" s="1"/>
  <c r="K30" i="31"/>
  <c r="I30" i="31"/>
  <c r="H30" i="31"/>
  <c r="G30" i="31"/>
  <c r="L29" i="31"/>
  <c r="L28" i="31"/>
  <c r="J28" i="31"/>
  <c r="G28" i="31"/>
  <c r="K27" i="31"/>
  <c r="J27" i="31"/>
  <c r="L27" i="31" s="1"/>
  <c r="I27" i="31"/>
  <c r="H27" i="31"/>
  <c r="G27" i="31"/>
  <c r="L26" i="31"/>
  <c r="L25" i="31"/>
  <c r="L24" i="31"/>
  <c r="L23" i="31"/>
  <c r="J23" i="31"/>
  <c r="G23" i="31"/>
  <c r="K22" i="31"/>
  <c r="J22" i="31"/>
  <c r="L22" i="31" s="1"/>
  <c r="I22" i="31"/>
  <c r="H22" i="31"/>
  <c r="G22" i="31"/>
  <c r="L20" i="31"/>
  <c r="I20" i="31"/>
  <c r="K19" i="31"/>
  <c r="J19" i="31"/>
  <c r="I19" i="31"/>
  <c r="H19" i="31"/>
  <c r="L19" i="31" s="1"/>
  <c r="G19" i="31"/>
  <c r="L18" i="31"/>
  <c r="J18" i="31"/>
  <c r="I18" i="31"/>
  <c r="G18" i="31"/>
  <c r="G12" i="31" s="1"/>
  <c r="G7" i="31" s="1"/>
  <c r="L17" i="31"/>
  <c r="J17" i="31"/>
  <c r="I17" i="31"/>
  <c r="G17" i="31"/>
  <c r="G16" i="31" s="1"/>
  <c r="K16" i="31"/>
  <c r="J16" i="31"/>
  <c r="L16" i="31" s="1"/>
  <c r="I16" i="31"/>
  <c r="H16" i="31"/>
  <c r="K14" i="31"/>
  <c r="J14" i="31"/>
  <c r="J9" i="31" s="1"/>
  <c r="L9" i="31" s="1"/>
  <c r="I14" i="31"/>
  <c r="H14" i="31"/>
  <c r="K13" i="31"/>
  <c r="K8" i="31" s="1"/>
  <c r="J13" i="31"/>
  <c r="I13" i="31"/>
  <c r="H13" i="31"/>
  <c r="G13" i="31"/>
  <c r="G8" i="31" s="1"/>
  <c r="K12" i="31"/>
  <c r="J12" i="31"/>
  <c r="I12" i="31"/>
  <c r="I7" i="31" s="1"/>
  <c r="H12" i="31"/>
  <c r="L12" i="31" s="1"/>
  <c r="K11" i="31"/>
  <c r="K10" i="31" s="1"/>
  <c r="H11" i="31"/>
  <c r="G11" i="31"/>
  <c r="H10" i="31"/>
  <c r="K9" i="31"/>
  <c r="K7" i="31"/>
  <c r="G10" i="31" l="1"/>
  <c r="G5" i="31" s="1"/>
  <c r="L63" i="31"/>
  <c r="I131" i="31"/>
  <c r="I371" i="31"/>
  <c r="L121" i="31"/>
  <c r="I6" i="31"/>
  <c r="I10" i="31"/>
  <c r="I5" i="31" s="1"/>
  <c r="H7" i="31"/>
  <c r="L7" i="31" s="1"/>
  <c r="J8" i="31"/>
  <c r="L8" i="31" s="1"/>
  <c r="G14" i="31"/>
  <c r="G9" i="31" s="1"/>
  <c r="J31" i="31"/>
  <c r="H45" i="31"/>
  <c r="H5" i="31" s="1"/>
  <c r="J126" i="31"/>
  <c r="L126" i="31" s="1"/>
  <c r="L381" i="31"/>
  <c r="K401" i="31"/>
  <c r="I144" i="31"/>
  <c r="G6" i="31"/>
  <c r="K6" i="31"/>
  <c r="K5" i="31" s="1"/>
  <c r="H63" i="31"/>
  <c r="L65" i="31"/>
  <c r="J131" i="31"/>
  <c r="L131" i="31" s="1"/>
  <c r="J411" i="31"/>
  <c r="L411" i="31" s="1"/>
  <c r="L64" i="31"/>
  <c r="L66" i="31"/>
  <c r="J101" i="31"/>
  <c r="L101" i="31" s="1"/>
  <c r="J11" i="31" l="1"/>
  <c r="L31" i="31"/>
  <c r="J30" i="31"/>
  <c r="L30" i="31" s="1"/>
  <c r="L45" i="31"/>
  <c r="L11" i="31" l="1"/>
  <c r="J10" i="31"/>
  <c r="J6" i="31"/>
  <c r="L6" i="31" s="1"/>
  <c r="L10" i="31" l="1"/>
  <c r="J5" i="31"/>
  <c r="L5" i="31" s="1"/>
  <c r="E10" i="28" l="1"/>
  <c r="D10" i="28"/>
  <c r="E9" i="28"/>
  <c r="D9" i="28"/>
  <c r="E8" i="28"/>
  <c r="D8" i="28"/>
  <c r="E7" i="28"/>
  <c r="D7" i="28"/>
  <c r="E125" i="28"/>
  <c r="D125" i="28"/>
  <c r="H239" i="23" l="1"/>
  <c r="N239" i="23" s="1"/>
  <c r="AC239" i="23" l="1"/>
  <c r="I234" i="23" l="1"/>
  <c r="O234" i="23" s="1"/>
  <c r="I222" i="23"/>
  <c r="O222" i="23" s="1"/>
  <c r="I221" i="23"/>
  <c r="I219" i="23"/>
  <c r="O219" i="23" s="1"/>
  <c r="I218" i="23"/>
  <c r="O218" i="23" s="1"/>
  <c r="E75" i="28" l="1"/>
  <c r="E74" i="28"/>
  <c r="E73" i="28"/>
  <c r="E72" i="28"/>
  <c r="D75" i="28"/>
  <c r="F75" i="28" s="1"/>
  <c r="D74" i="28"/>
  <c r="D73" i="28"/>
  <c r="E71" i="28" l="1"/>
  <c r="E83" i="28" l="1"/>
  <c r="D83" i="28"/>
  <c r="F87" i="28"/>
  <c r="I150" i="23"/>
  <c r="O150" i="23" s="1"/>
  <c r="I151" i="23"/>
  <c r="O151" i="23" s="1"/>
  <c r="R6" i="23" l="1"/>
  <c r="I59" i="23"/>
  <c r="R43" i="23"/>
  <c r="H48" i="23"/>
  <c r="N48" i="23" s="1"/>
  <c r="I35" i="23"/>
  <c r="R16" i="23"/>
  <c r="H31" i="23"/>
  <c r="N31" i="23" s="1"/>
  <c r="H30" i="23"/>
  <c r="AC30" i="23" s="1"/>
  <c r="H29" i="23"/>
  <c r="AC29" i="23" s="1"/>
  <c r="H28" i="23"/>
  <c r="AC28" i="23" s="1"/>
  <c r="H27" i="23"/>
  <c r="N27" i="23" s="1"/>
  <c r="H26" i="23"/>
  <c r="N26" i="23" s="1"/>
  <c r="H25" i="23"/>
  <c r="N25" i="23" s="1"/>
  <c r="I105" i="23"/>
  <c r="I106" i="23"/>
  <c r="I107" i="23"/>
  <c r="I108" i="23"/>
  <c r="O108" i="23" s="1"/>
  <c r="R91" i="23"/>
  <c r="I96" i="23"/>
  <c r="O96" i="23" s="1"/>
  <c r="H99" i="23"/>
  <c r="N99" i="23" s="1"/>
  <c r="I90" i="23"/>
  <c r="O90" i="23" s="1"/>
  <c r="N29" i="23" l="1"/>
  <c r="AC31" i="23"/>
  <c r="N28" i="23"/>
  <c r="N30" i="23"/>
  <c r="AC26" i="23"/>
  <c r="AC48" i="23"/>
  <c r="AC27" i="23"/>
  <c r="AC25" i="23"/>
  <c r="AC99" i="23"/>
  <c r="I76" i="23"/>
  <c r="I77" i="23"/>
  <c r="O77" i="23" s="1"/>
  <c r="I78" i="23"/>
  <c r="O78" i="23" s="1"/>
  <c r="H80" i="23"/>
  <c r="AC80" i="23" s="1"/>
  <c r="N80" i="23" l="1"/>
  <c r="AD185" i="23" l="1"/>
  <c r="AD188" i="23"/>
  <c r="I187" i="23"/>
  <c r="AD187" i="23" s="1"/>
  <c r="H187" i="23"/>
  <c r="N187" i="23" s="1"/>
  <c r="H184" i="23"/>
  <c r="AC184" i="23" s="1"/>
  <c r="H185" i="23"/>
  <c r="N185" i="23" s="1"/>
  <c r="R170" i="23"/>
  <c r="H176" i="23"/>
  <c r="N176" i="23" s="1"/>
  <c r="AD169" i="23"/>
  <c r="AD163" i="23"/>
  <c r="AC163" i="23"/>
  <c r="I165" i="23"/>
  <c r="O165" i="23" s="1"/>
  <c r="I164" i="23"/>
  <c r="I168" i="23"/>
  <c r="O168" i="23" s="1"/>
  <c r="H169" i="23"/>
  <c r="N169" i="23" s="1"/>
  <c r="E153" i="28"/>
  <c r="D153" i="28"/>
  <c r="I318" i="23"/>
  <c r="O318" i="23" s="1"/>
  <c r="H300" i="23"/>
  <c r="N300" i="23" s="1"/>
  <c r="I298" i="23"/>
  <c r="O298" i="23" s="1"/>
  <c r="H298" i="23"/>
  <c r="R285" i="23"/>
  <c r="I290" i="23"/>
  <c r="H291" i="23"/>
  <c r="N291" i="23" s="1"/>
  <c r="I278" i="23"/>
  <c r="H278" i="23"/>
  <c r="O187" i="23" l="1"/>
  <c r="AD168" i="23"/>
  <c r="AC185" i="23"/>
  <c r="N184" i="23"/>
  <c r="AC176" i="23"/>
  <c r="AC169" i="23"/>
  <c r="AD165" i="23"/>
  <c r="AC300" i="23"/>
  <c r="AC291" i="23"/>
  <c r="I355" i="23" l="1"/>
  <c r="AD355" i="23" s="1"/>
  <c r="H355" i="23"/>
  <c r="AC355" i="23" s="1"/>
  <c r="I354" i="23"/>
  <c r="H354" i="23"/>
  <c r="AC354" i="23" s="1"/>
  <c r="O355" i="23" l="1"/>
  <c r="N354" i="23"/>
  <c r="N355" i="23"/>
  <c r="I141" i="23" l="1"/>
  <c r="O141" i="23" s="1"/>
  <c r="E177" i="28" l="1"/>
  <c r="D177" i="28"/>
  <c r="I327" i="23"/>
  <c r="I324" i="23"/>
  <c r="O324" i="23" s="1"/>
  <c r="E242" i="28" l="1"/>
  <c r="D242" i="28"/>
  <c r="E241" i="28"/>
  <c r="D241" i="28"/>
  <c r="F249" i="28"/>
  <c r="I494" i="23" l="1"/>
  <c r="O494" i="23" s="1"/>
  <c r="I492" i="23" s="1"/>
  <c r="I475" i="23" l="1"/>
  <c r="H475" i="23"/>
  <c r="I462" i="23"/>
  <c r="I457" i="23"/>
  <c r="E227" i="28" l="1"/>
  <c r="D227" i="28"/>
  <c r="E234" i="28" l="1"/>
  <c r="E212" i="28" l="1"/>
  <c r="D212" i="28"/>
  <c r="E211" i="28"/>
  <c r="D211" i="28"/>
  <c r="E219" i="28" l="1"/>
  <c r="D219" i="28"/>
  <c r="F222" i="28"/>
  <c r="AB386" i="23"/>
  <c r="AA386" i="23"/>
  <c r="Z386" i="23"/>
  <c r="R386" i="23"/>
  <c r="H397" i="23"/>
  <c r="N397" i="23" s="1"/>
  <c r="H396" i="23"/>
  <c r="AC396" i="23" s="1"/>
  <c r="N396" i="23" l="1"/>
  <c r="AC397" i="23"/>
  <c r="D48" i="22" l="1"/>
  <c r="D47" i="22"/>
  <c r="M46" i="22"/>
  <c r="D46" i="22"/>
  <c r="E124" i="28"/>
  <c r="D124" i="28"/>
  <c r="F142" i="28"/>
  <c r="E123" i="28"/>
  <c r="D123" i="28"/>
  <c r="F133" i="28"/>
  <c r="R245" i="23"/>
  <c r="C47" i="22" s="1"/>
  <c r="H254" i="23"/>
  <c r="AC254" i="23" s="1"/>
  <c r="I253" i="23"/>
  <c r="O253" i="23" s="1"/>
  <c r="H253" i="23"/>
  <c r="AC253" i="23" s="1"/>
  <c r="H246" i="23"/>
  <c r="N246" i="23" s="1"/>
  <c r="I240" i="23"/>
  <c r="I238" i="23"/>
  <c r="O238" i="23" s="1"/>
  <c r="AD238" i="23" s="1"/>
  <c r="H238" i="23"/>
  <c r="N238" i="23" s="1"/>
  <c r="H240" i="23"/>
  <c r="N240" i="23" s="1"/>
  <c r="AD228" i="23"/>
  <c r="AD229" i="23"/>
  <c r="AD234" i="23"/>
  <c r="H234" i="23"/>
  <c r="N234" i="23" s="1"/>
  <c r="H231" i="23"/>
  <c r="I230" i="23"/>
  <c r="AD230" i="23" s="1"/>
  <c r="H230" i="23"/>
  <c r="AC230" i="23" s="1"/>
  <c r="AD219" i="23"/>
  <c r="AD221" i="23"/>
  <c r="AD222" i="23"/>
  <c r="H218" i="23"/>
  <c r="H221" i="23"/>
  <c r="AC221" i="23" s="1"/>
  <c r="H220" i="23"/>
  <c r="AC220" i="23" s="1"/>
  <c r="H219" i="23"/>
  <c r="N219" i="23" s="1"/>
  <c r="N254" i="23" l="1"/>
  <c r="N253" i="23"/>
  <c r="AC246" i="23"/>
  <c r="O230" i="23"/>
  <c r="AC238" i="23"/>
  <c r="AC240" i="23"/>
  <c r="N230" i="23"/>
  <c r="AC219" i="23"/>
  <c r="N220" i="23"/>
  <c r="AD150" i="23" l="1"/>
  <c r="H150" i="23"/>
  <c r="N150" i="23" s="1"/>
  <c r="I149" i="23"/>
  <c r="O149" i="23" s="1"/>
  <c r="H149" i="23"/>
  <c r="N149" i="23" s="1"/>
  <c r="AC150" i="23" l="1"/>
  <c r="AC149" i="23"/>
  <c r="AD149" i="23"/>
  <c r="E14" i="28" l="1"/>
  <c r="D14" i="28"/>
  <c r="F14" i="28" l="1"/>
  <c r="D22" i="22"/>
  <c r="E41" i="28"/>
  <c r="D41" i="28"/>
  <c r="F30" i="28" l="1"/>
  <c r="F31" i="28"/>
  <c r="F27" i="28"/>
  <c r="F28" i="28"/>
  <c r="F20" i="28"/>
  <c r="F21" i="28"/>
  <c r="F22" i="28"/>
  <c r="I111" i="23" l="1"/>
  <c r="H111" i="23"/>
  <c r="AD108" i="23"/>
  <c r="O107" i="23"/>
  <c r="H107" i="23"/>
  <c r="N107" i="23" s="1"/>
  <c r="AD96" i="23"/>
  <c r="AD97" i="23"/>
  <c r="H97" i="23"/>
  <c r="N97" i="23" s="1"/>
  <c r="H96" i="23"/>
  <c r="N96" i="23" s="1"/>
  <c r="I85" i="23"/>
  <c r="O85" i="23" s="1"/>
  <c r="I87" i="23"/>
  <c r="I89" i="23"/>
  <c r="H89" i="23"/>
  <c r="N89" i="23" s="1"/>
  <c r="AD77" i="23"/>
  <c r="AD78" i="23"/>
  <c r="L78" i="23"/>
  <c r="H78" i="23"/>
  <c r="N78" i="23" s="1"/>
  <c r="L77" i="23"/>
  <c r="H77" i="23"/>
  <c r="N77" i="23" s="1"/>
  <c r="AC97" i="23" l="1"/>
  <c r="AC96" i="23"/>
  <c r="AC107" i="23"/>
  <c r="AD107" i="23"/>
  <c r="AC78" i="23"/>
  <c r="AD87" i="23"/>
  <c r="AC77" i="23"/>
  <c r="AC89" i="23"/>
  <c r="I51" i="23" l="1"/>
  <c r="I52" i="23"/>
  <c r="I54" i="23"/>
  <c r="I55" i="23"/>
  <c r="H54" i="23"/>
  <c r="AC54" i="23" s="1"/>
  <c r="O35" i="23"/>
  <c r="O60" i="22"/>
  <c r="P60" i="22"/>
  <c r="Q60" i="22"/>
  <c r="D60" i="22"/>
  <c r="N54" i="23" l="1"/>
  <c r="I317" i="23"/>
  <c r="AD317" i="23" s="1"/>
  <c r="H317" i="23"/>
  <c r="AC317" i="23" s="1"/>
  <c r="I308" i="23"/>
  <c r="O308" i="23" s="1"/>
  <c r="H308" i="23"/>
  <c r="H309" i="23"/>
  <c r="I309" i="23"/>
  <c r="H310" i="23"/>
  <c r="I310" i="23"/>
  <c r="H311" i="23"/>
  <c r="H312" i="23"/>
  <c r="N312" i="23" s="1"/>
  <c r="H313" i="23"/>
  <c r="N313" i="23" s="1"/>
  <c r="H314" i="23"/>
  <c r="I314" i="23"/>
  <c r="H307" i="23"/>
  <c r="I305" i="23"/>
  <c r="H305" i="23"/>
  <c r="N305" i="23" s="1"/>
  <c r="I288" i="23"/>
  <c r="O288" i="23" s="1"/>
  <c r="I289" i="23"/>
  <c r="AC305" i="23" l="1"/>
  <c r="N317" i="23"/>
  <c r="AC313" i="23"/>
  <c r="O317" i="23"/>
  <c r="AC312" i="23"/>
  <c r="M66" i="22"/>
  <c r="D66" i="22"/>
  <c r="O66" i="22"/>
  <c r="P66" i="22"/>
  <c r="Q66" i="22"/>
  <c r="E178" i="28"/>
  <c r="D178" i="28"/>
  <c r="E176" i="28"/>
  <c r="D176" i="28"/>
  <c r="F194" i="28"/>
  <c r="E198" i="28" l="1"/>
  <c r="D198" i="28"/>
  <c r="E197" i="28"/>
  <c r="D197" i="28"/>
  <c r="I380" i="23" l="1"/>
  <c r="O380" i="23" s="1"/>
  <c r="H380" i="23"/>
  <c r="N380" i="23" s="1"/>
  <c r="I379" i="23"/>
  <c r="O379" i="23" s="1"/>
  <c r="H379" i="23"/>
  <c r="N379" i="23" s="1"/>
  <c r="I378" i="23"/>
  <c r="O378" i="23" s="1"/>
  <c r="I377" i="23"/>
  <c r="H377" i="23"/>
  <c r="AD372" i="23"/>
  <c r="H372" i="23"/>
  <c r="I358" i="23"/>
  <c r="I361" i="23"/>
  <c r="O361" i="23" s="1"/>
  <c r="H361" i="23"/>
  <c r="N361" i="23" s="1"/>
  <c r="N372" i="23" l="1"/>
  <c r="AC372" i="23"/>
  <c r="E91" i="28" l="1"/>
  <c r="D91" i="28"/>
  <c r="F95" i="28"/>
  <c r="F96" i="28"/>
  <c r="I167" i="23"/>
  <c r="H167" i="23"/>
  <c r="AC167" i="23" s="1"/>
  <c r="I166" i="23"/>
  <c r="H166" i="23"/>
  <c r="AC166" i="23" s="1"/>
  <c r="H165" i="23"/>
  <c r="H164" i="23"/>
  <c r="AC165" i="23" l="1"/>
  <c r="N165" i="23"/>
  <c r="N167" i="23"/>
  <c r="N166" i="23"/>
  <c r="G70" i="28"/>
  <c r="I140" i="23" l="1"/>
  <c r="O140" i="23" s="1"/>
  <c r="H140" i="23"/>
  <c r="N140" i="23" s="1"/>
  <c r="AC121" i="23"/>
  <c r="I122" i="23"/>
  <c r="O122" i="23" s="1"/>
  <c r="H122" i="23"/>
  <c r="N122" i="23" s="1"/>
  <c r="AC140" i="23" l="1"/>
  <c r="AD140" i="23"/>
  <c r="AD122" i="23"/>
  <c r="AC122" i="23"/>
  <c r="M91" i="22" l="1"/>
  <c r="H494" i="23"/>
  <c r="N494" i="23" s="1"/>
  <c r="I493" i="23"/>
  <c r="H493" i="23"/>
  <c r="I485" i="23"/>
  <c r="AD485" i="23" s="1"/>
  <c r="H485" i="23"/>
  <c r="AC485" i="23" s="1"/>
  <c r="E251" i="28"/>
  <c r="D251" i="28"/>
  <c r="N485" i="23" l="1"/>
  <c r="O485" i="23"/>
  <c r="I275" i="23" l="1"/>
  <c r="O275" i="23" s="1"/>
  <c r="I276" i="23"/>
  <c r="I274" i="23"/>
  <c r="O274" i="23" s="1"/>
  <c r="I272" i="23"/>
  <c r="O272" i="23" s="1"/>
  <c r="I273" i="23" l="1"/>
  <c r="AD275" i="23"/>
  <c r="I432" i="23"/>
  <c r="H432" i="23"/>
  <c r="H433" i="23"/>
  <c r="I434" i="23"/>
  <c r="O434" i="23" s="1"/>
  <c r="H434" i="23"/>
  <c r="N434" i="23" s="1"/>
  <c r="I433" i="23" l="1"/>
  <c r="AC434" i="23"/>
  <c r="AD434" i="23"/>
  <c r="O386" i="23" l="1"/>
  <c r="O398" i="23"/>
  <c r="O403" i="23"/>
  <c r="O407" i="23"/>
  <c r="O419" i="23"/>
  <c r="I426" i="23"/>
  <c r="O426" i="23" s="1"/>
  <c r="D42" i="22" l="1"/>
  <c r="D41" i="22"/>
  <c r="Q42" i="22"/>
  <c r="P42" i="22"/>
  <c r="O42" i="22"/>
  <c r="N42" i="22"/>
  <c r="D115" i="28"/>
  <c r="E115" i="28"/>
  <c r="M73" i="22" l="1"/>
  <c r="E213" i="28"/>
  <c r="D213" i="28"/>
  <c r="H408" i="23"/>
  <c r="N408" i="23" s="1"/>
  <c r="R347" i="23" l="1"/>
  <c r="C66" i="22" s="1"/>
  <c r="AD349" i="23"/>
  <c r="AA347" i="23" s="1"/>
  <c r="K66" i="22" s="1"/>
  <c r="I348" i="23"/>
  <c r="H348" i="23"/>
  <c r="AC348" i="23" s="1"/>
  <c r="H340" i="23"/>
  <c r="I340" i="23"/>
  <c r="I334" i="23"/>
  <c r="I331" i="23"/>
  <c r="I332" i="23"/>
  <c r="N348" i="23" l="1"/>
  <c r="AB347" i="23"/>
  <c r="L66" i="22" s="1"/>
  <c r="Z347" i="23"/>
  <c r="J66" i="22" s="1"/>
  <c r="H326" i="23"/>
  <c r="H327" i="23"/>
  <c r="I325" i="23"/>
  <c r="O325" i="23" s="1"/>
  <c r="H325" i="23"/>
  <c r="H324" i="23"/>
  <c r="I321" i="23"/>
  <c r="H321" i="23"/>
  <c r="I320" i="23"/>
  <c r="H320" i="23"/>
  <c r="AD494" i="23" l="1"/>
  <c r="AC494" i="23"/>
  <c r="R492" i="23"/>
  <c r="R487" i="23"/>
  <c r="R476" i="23"/>
  <c r="R468" i="23"/>
  <c r="R458" i="23"/>
  <c r="R449" i="23"/>
  <c r="R444" i="23"/>
  <c r="R441" i="23"/>
  <c r="R436" i="23"/>
  <c r="R430" i="23"/>
  <c r="AD426" i="23"/>
  <c r="R425" i="23"/>
  <c r="R421" i="23"/>
  <c r="AD419" i="23"/>
  <c r="AC419" i="23"/>
  <c r="R415" i="23"/>
  <c r="R411" i="23"/>
  <c r="AD408" i="23"/>
  <c r="AB407" i="23" s="1"/>
  <c r="AC408" i="23"/>
  <c r="R407" i="23"/>
  <c r="AD406" i="23"/>
  <c r="R403" i="23"/>
  <c r="R398" i="23"/>
  <c r="R381" i="23"/>
  <c r="AD380" i="23"/>
  <c r="AC380" i="23"/>
  <c r="AD378" i="23"/>
  <c r="R374" i="23"/>
  <c r="AD373" i="23"/>
  <c r="AD371" i="23"/>
  <c r="AD370" i="23"/>
  <c r="AD369" i="23"/>
  <c r="AD368" i="23"/>
  <c r="AD367" i="23"/>
  <c r="R366" i="23"/>
  <c r="AD361" i="23"/>
  <c r="AC361" i="23"/>
  <c r="R356" i="23"/>
  <c r="AD352" i="23"/>
  <c r="R350" i="23"/>
  <c r="AD341" i="23"/>
  <c r="AC341" i="23"/>
  <c r="AD340" i="23"/>
  <c r="AC340" i="23"/>
  <c r="AD339" i="23"/>
  <c r="AC339" i="23"/>
  <c r="R338" i="23"/>
  <c r="R329" i="23"/>
  <c r="AD325" i="23"/>
  <c r="R323" i="23"/>
  <c r="AD322" i="23"/>
  <c r="AC322" i="23"/>
  <c r="R319" i="23"/>
  <c r="R315" i="23"/>
  <c r="C60" i="22" s="1"/>
  <c r="AD308" i="23"/>
  <c r="R306" i="23"/>
  <c r="R299" i="23"/>
  <c r="R292" i="23"/>
  <c r="AD288" i="23"/>
  <c r="R277" i="23"/>
  <c r="AD274" i="23"/>
  <c r="R273" i="23"/>
  <c r="AD272" i="23"/>
  <c r="R267" i="23"/>
  <c r="R262" i="23"/>
  <c r="R258" i="23"/>
  <c r="R255" i="23"/>
  <c r="C48" i="22" s="1"/>
  <c r="AD251" i="23"/>
  <c r="AD250" i="23"/>
  <c r="AD249" i="23"/>
  <c r="AD248" i="23"/>
  <c r="AD247" i="23"/>
  <c r="R242" i="23"/>
  <c r="C46" i="22" s="1"/>
  <c r="AD241" i="23"/>
  <c r="R235" i="23"/>
  <c r="AC234" i="23"/>
  <c r="R223" i="23"/>
  <c r="R214" i="23"/>
  <c r="R212" i="23"/>
  <c r="C42" i="22" s="1"/>
  <c r="R203" i="23"/>
  <c r="C41" i="22" s="1"/>
  <c r="AB199" i="23"/>
  <c r="AA199" i="23"/>
  <c r="Z199" i="23"/>
  <c r="R199" i="23"/>
  <c r="R194" i="23"/>
  <c r="R189" i="23"/>
  <c r="R180" i="23"/>
  <c r="R177" i="23"/>
  <c r="R162" i="23"/>
  <c r="R157" i="23"/>
  <c r="R152" i="23"/>
  <c r="R145" i="23"/>
  <c r="R142" i="23"/>
  <c r="R136" i="23"/>
  <c r="R124" i="23"/>
  <c r="AD121" i="23"/>
  <c r="R118" i="23"/>
  <c r="R112" i="23"/>
  <c r="R109" i="23"/>
  <c r="C22" i="22" s="1"/>
  <c r="R100" i="23"/>
  <c r="AD85" i="23"/>
  <c r="R81" i="23"/>
  <c r="R71" i="23"/>
  <c r="R68" i="23"/>
  <c r="R63" i="23"/>
  <c r="R56" i="23"/>
  <c r="R49" i="23"/>
  <c r="R32" i="23"/>
  <c r="Y5" i="23"/>
  <c r="X5" i="23"/>
  <c r="H55" i="23"/>
  <c r="R497" i="23" l="1"/>
  <c r="AB492" i="23"/>
  <c r="Z407" i="23"/>
  <c r="AA407" i="23"/>
  <c r="AB366" i="23"/>
  <c r="N55" i="23"/>
  <c r="AC55" i="23"/>
  <c r="Z403" i="23"/>
  <c r="AB403" i="23"/>
  <c r="AA403" i="23"/>
  <c r="AA492" i="23"/>
  <c r="Z492" i="23"/>
  <c r="Z273" i="23"/>
  <c r="AB273" i="23"/>
  <c r="AA273" i="23"/>
  <c r="AA366" i="23"/>
  <c r="Z366" i="23"/>
  <c r="Q91" i="22" l="1"/>
  <c r="P91" i="22"/>
  <c r="O91" i="22"/>
  <c r="Q90" i="22"/>
  <c r="P90" i="22"/>
  <c r="O90" i="22"/>
  <c r="Q89" i="22"/>
  <c r="P89" i="22"/>
  <c r="O89" i="22"/>
  <c r="Q88" i="22"/>
  <c r="P88" i="22"/>
  <c r="O88" i="22"/>
  <c r="Q87" i="22"/>
  <c r="P87" i="22"/>
  <c r="O87" i="22"/>
  <c r="Q85" i="22"/>
  <c r="P85" i="22"/>
  <c r="O85" i="22"/>
  <c r="Q84" i="22"/>
  <c r="P84" i="22"/>
  <c r="O84" i="22"/>
  <c r="Q83" i="22"/>
  <c r="P83" i="22"/>
  <c r="O83" i="22"/>
  <c r="Q82" i="22"/>
  <c r="P82" i="22"/>
  <c r="O82" i="22"/>
  <c r="Q80" i="22"/>
  <c r="P80" i="22"/>
  <c r="O80" i="22"/>
  <c r="Q79" i="22"/>
  <c r="P79" i="22"/>
  <c r="O79" i="22"/>
  <c r="Q77" i="22"/>
  <c r="P77" i="22"/>
  <c r="O77" i="22"/>
  <c r="Q76" i="22"/>
  <c r="P76" i="22"/>
  <c r="O76" i="22"/>
  <c r="Q75" i="22"/>
  <c r="P75" i="22"/>
  <c r="O75" i="22"/>
  <c r="Q74" i="22"/>
  <c r="P74" i="22"/>
  <c r="O74" i="22"/>
  <c r="Q73" i="22"/>
  <c r="P73" i="22"/>
  <c r="O73" i="22"/>
  <c r="Q71" i="22"/>
  <c r="P71" i="22"/>
  <c r="O71" i="22"/>
  <c r="Q70" i="22"/>
  <c r="P70" i="22"/>
  <c r="O70" i="22"/>
  <c r="Q69" i="22"/>
  <c r="P69" i="22"/>
  <c r="O69" i="22"/>
  <c r="Q68" i="22"/>
  <c r="P68" i="22"/>
  <c r="O68" i="22"/>
  <c r="Q65" i="22"/>
  <c r="P65" i="22"/>
  <c r="O65" i="22"/>
  <c r="Q64" i="22"/>
  <c r="P64" i="22"/>
  <c r="O64" i="22"/>
  <c r="Q63" i="22"/>
  <c r="P63" i="22"/>
  <c r="O63" i="22"/>
  <c r="Q62" i="22"/>
  <c r="P62" i="22"/>
  <c r="O62" i="22"/>
  <c r="Q59" i="22"/>
  <c r="P59" i="22"/>
  <c r="O59" i="22"/>
  <c r="Q58" i="22"/>
  <c r="P58" i="22"/>
  <c r="O58" i="22"/>
  <c r="Q57" i="22"/>
  <c r="P57" i="22"/>
  <c r="O57" i="22"/>
  <c r="Q56" i="22"/>
  <c r="P56" i="22"/>
  <c r="O56" i="22"/>
  <c r="Q55" i="22"/>
  <c r="P55" i="22"/>
  <c r="O55" i="22"/>
  <c r="Q53" i="22"/>
  <c r="P53" i="22"/>
  <c r="O53" i="22"/>
  <c r="Q52" i="22"/>
  <c r="P52" i="22"/>
  <c r="O52" i="22"/>
  <c r="Q51" i="22"/>
  <c r="P51" i="22"/>
  <c r="O51" i="22"/>
  <c r="Q50" i="22"/>
  <c r="P50" i="22"/>
  <c r="O50" i="22"/>
  <c r="Q48" i="22"/>
  <c r="P48" i="22"/>
  <c r="O48" i="22"/>
  <c r="Q47" i="22"/>
  <c r="P47" i="22"/>
  <c r="O47" i="22"/>
  <c r="Q46" i="22"/>
  <c r="P46" i="22"/>
  <c r="O46" i="22"/>
  <c r="Q45" i="22"/>
  <c r="P45" i="22"/>
  <c r="O45" i="22"/>
  <c r="Q44" i="22"/>
  <c r="P44" i="22"/>
  <c r="O44" i="22"/>
  <c r="Q41" i="22"/>
  <c r="P41" i="22"/>
  <c r="O41" i="22"/>
  <c r="Q40" i="22"/>
  <c r="P40" i="22"/>
  <c r="O40" i="22"/>
  <c r="Q39" i="22"/>
  <c r="P39" i="22"/>
  <c r="O39" i="22"/>
  <c r="Q37" i="22" l="1"/>
  <c r="P37" i="22"/>
  <c r="O37" i="22"/>
  <c r="Q36" i="22"/>
  <c r="P36" i="22"/>
  <c r="O36" i="22"/>
  <c r="Q35" i="22"/>
  <c r="P35" i="22"/>
  <c r="O35" i="22"/>
  <c r="Q34" i="22"/>
  <c r="P34" i="22"/>
  <c r="O34" i="22"/>
  <c r="Q32" i="22"/>
  <c r="P32" i="22"/>
  <c r="O32" i="22"/>
  <c r="Q31" i="22"/>
  <c r="P31" i="22"/>
  <c r="O31" i="22"/>
  <c r="Q30" i="22"/>
  <c r="P30" i="22"/>
  <c r="O30" i="22"/>
  <c r="Q29" i="22"/>
  <c r="P29" i="22"/>
  <c r="O29" i="22"/>
  <c r="Q27" i="22"/>
  <c r="P27" i="22"/>
  <c r="O27" i="22"/>
  <c r="N27" i="22"/>
  <c r="Q26" i="22"/>
  <c r="P26" i="22"/>
  <c r="O26" i="22"/>
  <c r="Q25" i="22"/>
  <c r="P25" i="22"/>
  <c r="O25" i="22"/>
  <c r="Q24" i="22"/>
  <c r="P24" i="22"/>
  <c r="O24" i="22"/>
  <c r="Q22" i="22"/>
  <c r="P22" i="22"/>
  <c r="O22" i="22"/>
  <c r="Q21" i="22"/>
  <c r="P21" i="22"/>
  <c r="O21" i="22"/>
  <c r="Q20" i="22"/>
  <c r="P20" i="22"/>
  <c r="O20" i="22"/>
  <c r="Q19" i="22"/>
  <c r="P19" i="22"/>
  <c r="O19" i="22"/>
  <c r="Q17" i="22"/>
  <c r="P17" i="22"/>
  <c r="O17" i="22"/>
  <c r="Q16" i="22"/>
  <c r="P16" i="22"/>
  <c r="O16" i="22"/>
  <c r="Q15" i="22"/>
  <c r="P15" i="22"/>
  <c r="O15" i="22"/>
  <c r="Q14" i="22"/>
  <c r="P14" i="22"/>
  <c r="O14" i="22"/>
  <c r="Q13" i="22"/>
  <c r="P13" i="22"/>
  <c r="O13" i="22"/>
  <c r="Q12" i="22"/>
  <c r="P12" i="22"/>
  <c r="O12" i="22"/>
  <c r="Q11" i="22"/>
  <c r="P11" i="22"/>
  <c r="O11" i="22"/>
  <c r="G255" i="28"/>
  <c r="F255" i="28"/>
  <c r="G254" i="28"/>
  <c r="F254" i="28"/>
  <c r="F253" i="28"/>
  <c r="F252" i="28"/>
  <c r="G251" i="28"/>
  <c r="F250" i="28"/>
  <c r="F248" i="28"/>
  <c r="G247" i="28"/>
  <c r="E247" i="28"/>
  <c r="D247" i="28"/>
  <c r="F246" i="28"/>
  <c r="F245" i="28"/>
  <c r="K244" i="28"/>
  <c r="F244" i="28"/>
  <c r="G243" i="28"/>
  <c r="N87" i="22" s="1"/>
  <c r="E243" i="28"/>
  <c r="D243" i="28"/>
  <c r="K240" i="28"/>
  <c r="E240" i="28"/>
  <c r="D240" i="28"/>
  <c r="J239" i="28"/>
  <c r="Q86" i="22" s="1"/>
  <c r="I239" i="28"/>
  <c r="P86" i="22" s="1"/>
  <c r="H239" i="28"/>
  <c r="G238" i="28"/>
  <c r="F238" i="28"/>
  <c r="G237" i="28"/>
  <c r="N84" i="22" s="1"/>
  <c r="F237" i="28"/>
  <c r="F236" i="28"/>
  <c r="F235" i="28"/>
  <c r="G234" i="28"/>
  <c r="D234" i="28"/>
  <c r="G233" i="28"/>
  <c r="N82" i="22" s="1"/>
  <c r="F233" i="28"/>
  <c r="E232" i="28"/>
  <c r="D232" i="28"/>
  <c r="K231" i="28"/>
  <c r="E231" i="28"/>
  <c r="D231" i="28"/>
  <c r="J230" i="28"/>
  <c r="Q81" i="22" s="1"/>
  <c r="I230" i="28"/>
  <c r="P81" i="22" s="1"/>
  <c r="H230" i="28"/>
  <c r="O81" i="22" s="1"/>
  <c r="G229" i="28"/>
  <c r="F229" i="28"/>
  <c r="G228" i="28"/>
  <c r="N79" i="22" s="1"/>
  <c r="J227" i="28"/>
  <c r="Q78" i="22" s="1"/>
  <c r="I227" i="28"/>
  <c r="H227" i="28"/>
  <c r="O78" i="22" s="1"/>
  <c r="F226" i="28"/>
  <c r="G225" i="28"/>
  <c r="E225" i="28"/>
  <c r="D225" i="28"/>
  <c r="F224" i="28"/>
  <c r="G223" i="28"/>
  <c r="E223" i="28"/>
  <c r="D223" i="28"/>
  <c r="F221" i="28"/>
  <c r="F220" i="28"/>
  <c r="G219" i="28"/>
  <c r="F218" i="28"/>
  <c r="F217" i="28"/>
  <c r="K216" i="28"/>
  <c r="F216" i="28"/>
  <c r="G215" i="28"/>
  <c r="E215" i="28"/>
  <c r="D215" i="28"/>
  <c r="F214" i="28"/>
  <c r="G213" i="28"/>
  <c r="E210" i="28"/>
  <c r="D210" i="28"/>
  <c r="J209" i="28"/>
  <c r="Q72" i="22" s="1"/>
  <c r="I209" i="28"/>
  <c r="H209" i="28"/>
  <c r="O72" i="22" s="1"/>
  <c r="G208" i="28"/>
  <c r="F208" i="28"/>
  <c r="G207" i="28"/>
  <c r="N70" i="22" s="1"/>
  <c r="F207" i="28"/>
  <c r="F206" i="28"/>
  <c r="K205" i="28"/>
  <c r="F205" i="28"/>
  <c r="G204" i="28"/>
  <c r="E204" i="28"/>
  <c r="D204" i="28"/>
  <c r="F203" i="28"/>
  <c r="F202" i="28"/>
  <c r="K201" i="28"/>
  <c r="F201" i="28"/>
  <c r="G200" i="28"/>
  <c r="N68" i="22" s="1"/>
  <c r="E200" i="28"/>
  <c r="D200" i="28"/>
  <c r="E199" i="28"/>
  <c r="D199" i="28"/>
  <c r="K197" i="28"/>
  <c r="J196" i="28"/>
  <c r="Q67" i="22" s="1"/>
  <c r="I196" i="28"/>
  <c r="P67" i="22" s="1"/>
  <c r="H196" i="28"/>
  <c r="O67" i="22" s="1"/>
  <c r="F195" i="28"/>
  <c r="F193" i="28"/>
  <c r="F192" i="28"/>
  <c r="G191" i="28"/>
  <c r="N66" i="22" s="1"/>
  <c r="R66" i="22" s="1"/>
  <c r="E191" i="28"/>
  <c r="D191" i="28"/>
  <c r="K190" i="28"/>
  <c r="F190" i="28"/>
  <c r="G189" i="28"/>
  <c r="N65" i="22" s="1"/>
  <c r="E189" i="28"/>
  <c r="D189" i="28"/>
  <c r="F188" i="28"/>
  <c r="G187" i="28"/>
  <c r="E187" i="28"/>
  <c r="D187" i="28"/>
  <c r="F186" i="28"/>
  <c r="F185" i="28"/>
  <c r="F184" i="28"/>
  <c r="G183" i="28"/>
  <c r="E183" i="28"/>
  <c r="D183" i="28"/>
  <c r="F182" i="28"/>
  <c r="F181" i="28"/>
  <c r="K180" i="28"/>
  <c r="F180" i="28"/>
  <c r="G179" i="28"/>
  <c r="N62" i="22" s="1"/>
  <c r="E179" i="28"/>
  <c r="D179" i="28"/>
  <c r="E175" i="28"/>
  <c r="D175" i="28"/>
  <c r="J174" i="28"/>
  <c r="Q61" i="22" s="1"/>
  <c r="I174" i="28"/>
  <c r="P61" i="22" s="1"/>
  <c r="H174" i="28"/>
  <c r="O61" i="22" s="1"/>
  <c r="F173" i="28"/>
  <c r="F172" i="28"/>
  <c r="G171" i="28"/>
  <c r="N60" i="22" s="1"/>
  <c r="E171" i="28"/>
  <c r="D171" i="28"/>
  <c r="F170" i="28"/>
  <c r="F169" i="28"/>
  <c r="F168" i="28"/>
  <c r="K167" i="28"/>
  <c r="F167" i="28"/>
  <c r="G166" i="28"/>
  <c r="N59" i="22" s="1"/>
  <c r="E166" i="28"/>
  <c r="D166" i="28"/>
  <c r="F165" i="28"/>
  <c r="K164" i="28"/>
  <c r="F164" i="28"/>
  <c r="G163" i="28"/>
  <c r="E163" i="28"/>
  <c r="D163" i="28"/>
  <c r="K162" i="28"/>
  <c r="F162" i="28"/>
  <c r="G161" i="28"/>
  <c r="E161" i="28"/>
  <c r="D161" i="28"/>
  <c r="F160" i="28"/>
  <c r="F159" i="28"/>
  <c r="K158" i="28"/>
  <c r="F158" i="28"/>
  <c r="G157" i="28"/>
  <c r="N56" i="22" s="1"/>
  <c r="E157" i="28"/>
  <c r="D157" i="28"/>
  <c r="G156" i="28"/>
  <c r="F156" i="28"/>
  <c r="E155" i="28"/>
  <c r="D155" i="28"/>
  <c r="E154" i="28"/>
  <c r="D154" i="28"/>
  <c r="E152" i="28"/>
  <c r="D152" i="28"/>
  <c r="J151" i="28"/>
  <c r="Q54" i="22" s="1"/>
  <c r="I151" i="28"/>
  <c r="P54" i="22" s="1"/>
  <c r="H151" i="28"/>
  <c r="O54" i="22" s="1"/>
  <c r="G150" i="28"/>
  <c r="N53" i="22" s="1"/>
  <c r="F150" i="28"/>
  <c r="G149" i="28"/>
  <c r="F149" i="28"/>
  <c r="G148" i="28"/>
  <c r="N51" i="22" s="1"/>
  <c r="F148" i="28"/>
  <c r="G147" i="28"/>
  <c r="F147" i="28"/>
  <c r="J146" i="28"/>
  <c r="Q49" i="22" s="1"/>
  <c r="I146" i="28"/>
  <c r="P49" i="22" s="1"/>
  <c r="H146" i="28"/>
  <c r="O49" i="22" s="1"/>
  <c r="E146" i="28"/>
  <c r="D146" i="28"/>
  <c r="F145" i="28"/>
  <c r="G144" i="28"/>
  <c r="N48" i="22" s="1"/>
  <c r="E144" i="28"/>
  <c r="D144" i="28"/>
  <c r="F143" i="28"/>
  <c r="F141" i="28"/>
  <c r="F140" i="28"/>
  <c r="G139" i="28"/>
  <c r="E139" i="28"/>
  <c r="D139" i="28"/>
  <c r="F138" i="28"/>
  <c r="F137" i="28"/>
  <c r="F136" i="28"/>
  <c r="G135" i="28"/>
  <c r="E135" i="28"/>
  <c r="D135" i="28"/>
  <c r="F134" i="28"/>
  <c r="F132" i="28"/>
  <c r="G131" i="28"/>
  <c r="E131" i="28"/>
  <c r="D131" i="28"/>
  <c r="F130" i="28"/>
  <c r="F129" i="28"/>
  <c r="F128" i="28"/>
  <c r="F127" i="28"/>
  <c r="G126" i="28"/>
  <c r="E126" i="28"/>
  <c r="D126" i="28"/>
  <c r="E122" i="28"/>
  <c r="D122" i="28"/>
  <c r="J121" i="28"/>
  <c r="Q43" i="22" s="1"/>
  <c r="I121" i="28"/>
  <c r="P43" i="22" s="1"/>
  <c r="H121" i="28"/>
  <c r="F120" i="28"/>
  <c r="F119" i="28"/>
  <c r="G118" i="28"/>
  <c r="E118" i="28"/>
  <c r="D118" i="28"/>
  <c r="F117" i="28"/>
  <c r="F116" i="28"/>
  <c r="G115" i="28"/>
  <c r="F114" i="28"/>
  <c r="F113" i="28"/>
  <c r="G112" i="28"/>
  <c r="E112" i="28"/>
  <c r="D112" i="28"/>
  <c r="E111" i="28"/>
  <c r="D111" i="28"/>
  <c r="E110" i="28"/>
  <c r="D110" i="28"/>
  <c r="E109" i="28"/>
  <c r="D109" i="28"/>
  <c r="J108" i="28"/>
  <c r="Q38" i="22" s="1"/>
  <c r="I108" i="28"/>
  <c r="P38" i="22" s="1"/>
  <c r="H108" i="28"/>
  <c r="O38" i="22" s="1"/>
  <c r="F107" i="28"/>
  <c r="F106" i="28"/>
  <c r="G105" i="28"/>
  <c r="E105" i="28"/>
  <c r="D105" i="28"/>
  <c r="F104" i="28"/>
  <c r="F103" i="28"/>
  <c r="F102" i="28"/>
  <c r="G101" i="28"/>
  <c r="E101" i="28"/>
  <c r="D101" i="28"/>
  <c r="F100" i="28"/>
  <c r="F99" i="28"/>
  <c r="F98" i="28"/>
  <c r="G97" i="28"/>
  <c r="E97" i="28"/>
  <c r="D97" i="28"/>
  <c r="F94" i="28"/>
  <c r="G93" i="28"/>
  <c r="K93" i="28" s="1"/>
  <c r="E93" i="28"/>
  <c r="D93" i="28"/>
  <c r="E92" i="28"/>
  <c r="D92" i="28"/>
  <c r="E90" i="28"/>
  <c r="D90" i="28"/>
  <c r="J89" i="28"/>
  <c r="Q33" i="22" s="1"/>
  <c r="I89" i="28"/>
  <c r="P33" i="22" s="1"/>
  <c r="H89" i="28"/>
  <c r="O33" i="22" s="1"/>
  <c r="G88" i="28"/>
  <c r="K88" i="28" s="1"/>
  <c r="F88" i="28"/>
  <c r="F86" i="28"/>
  <c r="F85" i="28"/>
  <c r="K84" i="28"/>
  <c r="F84" i="28"/>
  <c r="G83" i="28"/>
  <c r="K83" i="28" s="1"/>
  <c r="F82" i="28"/>
  <c r="F81" i="28"/>
  <c r="K80" i="28"/>
  <c r="F80" i="28"/>
  <c r="G79" i="28"/>
  <c r="E79" i="28"/>
  <c r="D79" i="28"/>
  <c r="F78" i="28"/>
  <c r="F77" i="28"/>
  <c r="G76" i="28"/>
  <c r="E76" i="28"/>
  <c r="D76" i="28"/>
  <c r="D72" i="28"/>
  <c r="D71" i="28" s="1"/>
  <c r="J71" i="28"/>
  <c r="Q28" i="22" s="1"/>
  <c r="I71" i="28"/>
  <c r="P28" i="22" s="1"/>
  <c r="H71" i="28"/>
  <c r="O28" i="22" s="1"/>
  <c r="K70" i="28"/>
  <c r="F70" i="28"/>
  <c r="F69" i="28"/>
  <c r="F68" i="28"/>
  <c r="G67" i="28"/>
  <c r="N26" i="22" s="1"/>
  <c r="E67" i="28"/>
  <c r="D67" i="28"/>
  <c r="F66" i="28"/>
  <c r="F65" i="28"/>
  <c r="F64" i="28"/>
  <c r="G63" i="28"/>
  <c r="K63" i="28" s="1"/>
  <c r="E63" i="28"/>
  <c r="D63" i="28"/>
  <c r="F62" i="28"/>
  <c r="F61" i="28"/>
  <c r="G60" i="28"/>
  <c r="E60" i="28"/>
  <c r="D60" i="28"/>
  <c r="E59" i="28"/>
  <c r="D59" i="28"/>
  <c r="E58" i="28"/>
  <c r="D58" i="28"/>
  <c r="K57" i="28"/>
  <c r="E57" i="28"/>
  <c r="D57" i="28"/>
  <c r="J56" i="28"/>
  <c r="Q23" i="22" s="1"/>
  <c r="I56" i="28"/>
  <c r="P23" i="22" s="1"/>
  <c r="H56" i="28"/>
  <c r="O23" i="22" s="1"/>
  <c r="F55" i="28"/>
  <c r="F54" i="28"/>
  <c r="F53" i="28"/>
  <c r="G52" i="28"/>
  <c r="N22" i="22" s="1"/>
  <c r="E52" i="28"/>
  <c r="D52" i="28"/>
  <c r="F51" i="28"/>
  <c r="F50" i="28"/>
  <c r="G49" i="28"/>
  <c r="K49" i="28" s="1"/>
  <c r="E49" i="28"/>
  <c r="D49" i="28"/>
  <c r="F48" i="28"/>
  <c r="F47" i="28"/>
  <c r="F46" i="28"/>
  <c r="G45" i="28"/>
  <c r="E45" i="28"/>
  <c r="D45" i="28"/>
  <c r="F44" i="28"/>
  <c r="F43" i="28"/>
  <c r="G42" i="28"/>
  <c r="E42" i="28"/>
  <c r="D42" i="28"/>
  <c r="E40" i="28"/>
  <c r="D40" i="28"/>
  <c r="E39" i="28"/>
  <c r="D39" i="28"/>
  <c r="J38" i="28"/>
  <c r="Q18" i="22" s="1"/>
  <c r="I38" i="28"/>
  <c r="P18" i="22" s="1"/>
  <c r="H38" i="28"/>
  <c r="O18" i="22" s="1"/>
  <c r="F37" i="28"/>
  <c r="F36" i="28"/>
  <c r="G35" i="28"/>
  <c r="E35" i="28"/>
  <c r="D35" i="28"/>
  <c r="F34" i="28"/>
  <c r="F33" i="28"/>
  <c r="G32" i="28"/>
  <c r="E32" i="28"/>
  <c r="D32" i="28"/>
  <c r="G29" i="28"/>
  <c r="K29" i="28" s="1"/>
  <c r="E29" i="28"/>
  <c r="D29" i="28"/>
  <c r="G26" i="28"/>
  <c r="E26" i="28"/>
  <c r="D26" i="28"/>
  <c r="F24" i="28"/>
  <c r="G23" i="28"/>
  <c r="E23" i="28"/>
  <c r="D23" i="28"/>
  <c r="G19" i="28"/>
  <c r="K19" i="28" s="1"/>
  <c r="E19" i="28"/>
  <c r="D19" i="28"/>
  <c r="F18" i="28"/>
  <c r="F17" i="28"/>
  <c r="F16" i="28"/>
  <c r="G15" i="28"/>
  <c r="E15" i="28"/>
  <c r="D15" i="28"/>
  <c r="E13" i="28"/>
  <c r="D13" i="28"/>
  <c r="E12" i="28"/>
  <c r="D12" i="28"/>
  <c r="J11" i="28"/>
  <c r="I11" i="28"/>
  <c r="H11" i="28"/>
  <c r="K7" i="28"/>
  <c r="J6" i="28" l="1"/>
  <c r="P10" i="22"/>
  <c r="I6" i="28"/>
  <c r="O10" i="22"/>
  <c r="H6" i="28"/>
  <c r="D209" i="28"/>
  <c r="N35" i="22"/>
  <c r="K97" i="28"/>
  <c r="N37" i="22"/>
  <c r="K105" i="28"/>
  <c r="N36" i="22"/>
  <c r="K101" i="28"/>
  <c r="E239" i="28"/>
  <c r="F242" i="28"/>
  <c r="F97" i="28"/>
  <c r="F111" i="28"/>
  <c r="D11" i="28"/>
  <c r="F109" i="28"/>
  <c r="E209" i="28"/>
  <c r="F93" i="28"/>
  <c r="F73" i="28"/>
  <c r="F42" i="28"/>
  <c r="D230" i="28"/>
  <c r="D174" i="28"/>
  <c r="E230" i="28"/>
  <c r="F19" i="28"/>
  <c r="F122" i="28"/>
  <c r="F126" i="28"/>
  <c r="K144" i="28"/>
  <c r="F155" i="28"/>
  <c r="F228" i="28"/>
  <c r="F59" i="28"/>
  <c r="F92" i="28"/>
  <c r="K150" i="28"/>
  <c r="F198" i="28"/>
  <c r="F23" i="28"/>
  <c r="F26" i="28"/>
  <c r="D89" i="28"/>
  <c r="F115" i="28"/>
  <c r="F123" i="28"/>
  <c r="F125" i="28"/>
  <c r="G151" i="28"/>
  <c r="K151" i="28" s="1"/>
  <c r="F179" i="28"/>
  <c r="F240" i="28"/>
  <c r="F251" i="28"/>
  <c r="F35" i="28"/>
  <c r="F49" i="28"/>
  <c r="F52" i="28"/>
  <c r="F58" i="28"/>
  <c r="F60" i="28"/>
  <c r="F67" i="28"/>
  <c r="F76" i="28"/>
  <c r="F83" i="28"/>
  <c r="F90" i="28"/>
  <c r="F124" i="28"/>
  <c r="F171" i="28"/>
  <c r="F204" i="28"/>
  <c r="F215" i="28"/>
  <c r="G227" i="28"/>
  <c r="N78" i="22" s="1"/>
  <c r="F232" i="28"/>
  <c r="K233" i="28"/>
  <c r="K237" i="28"/>
  <c r="G196" i="28"/>
  <c r="K196" i="28" s="1"/>
  <c r="K199" i="28" s="1"/>
  <c r="F231" i="28"/>
  <c r="F40" i="28"/>
  <c r="F144" i="28"/>
  <c r="F157" i="28"/>
  <c r="F199" i="28"/>
  <c r="F219" i="28"/>
  <c r="F241" i="28"/>
  <c r="F243" i="28"/>
  <c r="Q10" i="22"/>
  <c r="Q9" i="22" s="1"/>
  <c r="F15" i="28"/>
  <c r="N17" i="22"/>
  <c r="K35" i="28"/>
  <c r="F176" i="28"/>
  <c r="K187" i="28"/>
  <c r="N64" i="22"/>
  <c r="G11" i="28"/>
  <c r="N10" i="22" s="1"/>
  <c r="N11" i="22"/>
  <c r="K23" i="28"/>
  <c r="N13" i="22"/>
  <c r="K26" i="28"/>
  <c r="N14" i="22"/>
  <c r="F29" i="28"/>
  <c r="F105" i="28"/>
  <c r="K147" i="28"/>
  <c r="N50" i="22"/>
  <c r="G146" i="28"/>
  <c r="N75" i="22"/>
  <c r="K219" i="28"/>
  <c r="K251" i="28"/>
  <c r="N89" i="22"/>
  <c r="G239" i="28"/>
  <c r="N86" i="22" s="1"/>
  <c r="K254" i="28"/>
  <c r="N90" i="22"/>
  <c r="F13" i="28"/>
  <c r="D38" i="28"/>
  <c r="N24" i="22"/>
  <c r="K60" i="28"/>
  <c r="N29" i="22"/>
  <c r="K76" i="28"/>
  <c r="D108" i="28"/>
  <c r="N40" i="22"/>
  <c r="K115" i="28"/>
  <c r="G121" i="28"/>
  <c r="N43" i="22" s="1"/>
  <c r="N45" i="22"/>
  <c r="K139" i="28"/>
  <c r="N47" i="22"/>
  <c r="N74" i="22"/>
  <c r="K215" i="28"/>
  <c r="K218" i="28" s="1"/>
  <c r="E11" i="28"/>
  <c r="K32" i="28"/>
  <c r="N16" i="22"/>
  <c r="E38" i="28"/>
  <c r="N19" i="22"/>
  <c r="K42" i="28"/>
  <c r="N44" i="22"/>
  <c r="K126" i="28"/>
  <c r="F63" i="28"/>
  <c r="F72" i="28"/>
  <c r="F79" i="28"/>
  <c r="F110" i="28"/>
  <c r="F118" i="28"/>
  <c r="O43" i="22"/>
  <c r="F135" i="28"/>
  <c r="K149" i="28"/>
  <c r="N52" i="22"/>
  <c r="F161" i="28"/>
  <c r="F183" i="28"/>
  <c r="F213" i="28"/>
  <c r="F247" i="28"/>
  <c r="F12" i="28"/>
  <c r="F39" i="28"/>
  <c r="F45" i="28"/>
  <c r="F74" i="28"/>
  <c r="G71" i="28"/>
  <c r="N28" i="22" s="1"/>
  <c r="F112" i="28"/>
  <c r="K118" i="28"/>
  <c r="N41" i="22"/>
  <c r="K135" i="28"/>
  <c r="N46" i="22"/>
  <c r="F146" i="28"/>
  <c r="F152" i="28"/>
  <c r="E151" i="28"/>
  <c r="K161" i="28"/>
  <c r="N57" i="22"/>
  <c r="F163" i="28"/>
  <c r="K166" i="28"/>
  <c r="K169" i="28" s="1"/>
  <c r="E174" i="28"/>
  <c r="F178" i="28"/>
  <c r="G174" i="28"/>
  <c r="N61" i="22" s="1"/>
  <c r="N63" i="22"/>
  <c r="K189" i="28"/>
  <c r="F191" i="28"/>
  <c r="K200" i="28"/>
  <c r="F210" i="28"/>
  <c r="K213" i="28"/>
  <c r="N73" i="22"/>
  <c r="K223" i="28"/>
  <c r="N76" i="22"/>
  <c r="G209" i="28"/>
  <c r="N72" i="22" s="1"/>
  <c r="N77" i="22"/>
  <c r="F234" i="28"/>
  <c r="K238" i="28"/>
  <c r="N85" i="22"/>
  <c r="R85" i="22" s="1"/>
  <c r="O86" i="22"/>
  <c r="K247" i="28"/>
  <c r="N88" i="22"/>
  <c r="K255" i="28"/>
  <c r="N91" i="22"/>
  <c r="F197" i="28"/>
  <c r="K204" i="28"/>
  <c r="K206" i="28" s="1"/>
  <c r="N69" i="22"/>
  <c r="K208" i="28"/>
  <c r="N71" i="22"/>
  <c r="F211" i="28"/>
  <c r="F223" i="28"/>
  <c r="F225" i="28"/>
  <c r="F32" i="28"/>
  <c r="F41" i="28"/>
  <c r="G38" i="28"/>
  <c r="N18" i="22" s="1"/>
  <c r="K52" i="28"/>
  <c r="D56" i="28"/>
  <c r="F57" i="28"/>
  <c r="K67" i="28"/>
  <c r="F91" i="28"/>
  <c r="F101" i="28"/>
  <c r="K112" i="28"/>
  <c r="N39" i="22"/>
  <c r="F131" i="28"/>
  <c r="F139" i="28"/>
  <c r="K148" i="28"/>
  <c r="F153" i="28"/>
  <c r="K156" i="28"/>
  <c r="N55" i="22"/>
  <c r="K157" i="28"/>
  <c r="K159" i="28" s="1"/>
  <c r="K160" i="28" s="1"/>
  <c r="K163" i="28"/>
  <c r="K165" i="28" s="1"/>
  <c r="N58" i="22"/>
  <c r="F166" i="28"/>
  <c r="K171" i="28"/>
  <c r="F175" i="28"/>
  <c r="K179" i="28"/>
  <c r="K181" i="28" s="1"/>
  <c r="K182" i="28" s="1"/>
  <c r="F187" i="28"/>
  <c r="F189" i="28"/>
  <c r="K191" i="28"/>
  <c r="E196" i="28"/>
  <c r="F200" i="28"/>
  <c r="K207" i="28"/>
  <c r="P72" i="22"/>
  <c r="F212" i="28"/>
  <c r="P78" i="22"/>
  <c r="K228" i="28"/>
  <c r="K229" i="28"/>
  <c r="N80" i="22"/>
  <c r="K234" i="28"/>
  <c r="N83" i="22"/>
  <c r="D239" i="28"/>
  <c r="K243" i="28"/>
  <c r="K245" i="28" s="1"/>
  <c r="K246" i="28" s="1"/>
  <c r="N12" i="22"/>
  <c r="N15" i="22"/>
  <c r="N20" i="22"/>
  <c r="N21" i="22"/>
  <c r="N25" i="22"/>
  <c r="N30" i="22"/>
  <c r="N31" i="22"/>
  <c r="N32" i="22"/>
  <c r="N34" i="22"/>
  <c r="G56" i="28"/>
  <c r="G89" i="28"/>
  <c r="G108" i="28"/>
  <c r="E121" i="28"/>
  <c r="K131" i="28"/>
  <c r="G230" i="28"/>
  <c r="K15" i="28"/>
  <c r="K45" i="28"/>
  <c r="E56" i="28"/>
  <c r="K79" i="28"/>
  <c r="K82" i="28" s="1"/>
  <c r="E89" i="28"/>
  <c r="E108" i="28"/>
  <c r="D151" i="28"/>
  <c r="F154" i="28"/>
  <c r="K183" i="28"/>
  <c r="D196" i="28"/>
  <c r="K225" i="28"/>
  <c r="D121" i="28"/>
  <c r="N419" i="23"/>
  <c r="O341" i="23"/>
  <c r="N341" i="23"/>
  <c r="O340" i="23"/>
  <c r="N340" i="23"/>
  <c r="O339" i="23"/>
  <c r="N339" i="23"/>
  <c r="O322" i="23"/>
  <c r="N322" i="23"/>
  <c r="O121" i="23"/>
  <c r="N121" i="23"/>
  <c r="I491" i="23"/>
  <c r="H491" i="23"/>
  <c r="I490" i="23"/>
  <c r="H490" i="23"/>
  <c r="I489" i="23"/>
  <c r="H489" i="23"/>
  <c r="I488" i="23"/>
  <c r="H488" i="23"/>
  <c r="H486" i="23"/>
  <c r="I484" i="23"/>
  <c r="H484" i="23"/>
  <c r="I483" i="23"/>
  <c r="H483" i="23"/>
  <c r="I482" i="23"/>
  <c r="H482" i="23"/>
  <c r="I481" i="23"/>
  <c r="H481" i="23"/>
  <c r="I480" i="23"/>
  <c r="H480" i="23"/>
  <c r="I479" i="23"/>
  <c r="H479" i="23"/>
  <c r="I478" i="23"/>
  <c r="H478" i="23"/>
  <c r="I477" i="23"/>
  <c r="H477" i="23"/>
  <c r="I474" i="23"/>
  <c r="H474" i="23"/>
  <c r="I473" i="23"/>
  <c r="H473" i="23"/>
  <c r="I472" i="23"/>
  <c r="H472" i="23"/>
  <c r="I471" i="23"/>
  <c r="H471" i="23"/>
  <c r="I470" i="23"/>
  <c r="H470" i="23"/>
  <c r="I469" i="23"/>
  <c r="H469" i="23"/>
  <c r="I467" i="23"/>
  <c r="H467" i="23"/>
  <c r="I466" i="23"/>
  <c r="H466" i="23"/>
  <c r="I465" i="23"/>
  <c r="H465" i="23"/>
  <c r="I464" i="23"/>
  <c r="H464" i="23"/>
  <c r="I463" i="23"/>
  <c r="H463" i="23"/>
  <c r="H462" i="23"/>
  <c r="I461" i="23"/>
  <c r="H461" i="23"/>
  <c r="I460" i="23"/>
  <c r="H460" i="23"/>
  <c r="I459" i="23"/>
  <c r="H459" i="23"/>
  <c r="H457" i="23"/>
  <c r="I456" i="23"/>
  <c r="H456" i="23"/>
  <c r="I455" i="23"/>
  <c r="H455" i="23"/>
  <c r="I454" i="23"/>
  <c r="H454" i="23"/>
  <c r="I453" i="23"/>
  <c r="H453" i="23"/>
  <c r="I452" i="23"/>
  <c r="H452" i="23"/>
  <c r="I451" i="23"/>
  <c r="H451" i="23"/>
  <c r="I450" i="23"/>
  <c r="H450" i="23"/>
  <c r="H448" i="23"/>
  <c r="I447" i="23"/>
  <c r="H447" i="23"/>
  <c r="I446" i="23"/>
  <c r="H446" i="23"/>
  <c r="I445" i="23"/>
  <c r="H445" i="23"/>
  <c r="I443" i="23"/>
  <c r="H443" i="23"/>
  <c r="I442" i="23"/>
  <c r="H442" i="23"/>
  <c r="I440" i="23"/>
  <c r="H440" i="23"/>
  <c r="I439" i="23"/>
  <c r="H439" i="23"/>
  <c r="I438" i="23"/>
  <c r="H438" i="23"/>
  <c r="I437" i="23"/>
  <c r="H437" i="23"/>
  <c r="H435" i="23"/>
  <c r="I431" i="23"/>
  <c r="H431" i="23"/>
  <c r="I429" i="23"/>
  <c r="H429" i="23"/>
  <c r="I427" i="23"/>
  <c r="H427" i="23"/>
  <c r="AC427" i="23" s="1"/>
  <c r="H426" i="23"/>
  <c r="I424" i="23"/>
  <c r="O424" i="23" s="1"/>
  <c r="H424" i="23"/>
  <c r="I423" i="23"/>
  <c r="O423" i="23" s="1"/>
  <c r="H423" i="23"/>
  <c r="I422" i="23"/>
  <c r="O422" i="23" s="1"/>
  <c r="H422" i="23"/>
  <c r="I420" i="23"/>
  <c r="H420" i="23"/>
  <c r="I418" i="23"/>
  <c r="O418" i="23" s="1"/>
  <c r="H418" i="23"/>
  <c r="I417" i="23"/>
  <c r="O417" i="23" s="1"/>
  <c r="H417" i="23"/>
  <c r="I416" i="23"/>
  <c r="O416" i="23" s="1"/>
  <c r="H416" i="23"/>
  <c r="I414" i="23"/>
  <c r="O414" i="23" s="1"/>
  <c r="H414" i="23"/>
  <c r="I413" i="23"/>
  <c r="O413" i="23" s="1"/>
  <c r="H413" i="23"/>
  <c r="AC413" i="23" s="1"/>
  <c r="I412" i="23"/>
  <c r="O412" i="23" s="1"/>
  <c r="H412" i="23"/>
  <c r="H410" i="23"/>
  <c r="H409" i="23"/>
  <c r="H406" i="23"/>
  <c r="H405" i="23"/>
  <c r="I404" i="23"/>
  <c r="H404" i="23"/>
  <c r="I402" i="23"/>
  <c r="H402" i="23"/>
  <c r="AC402" i="23" s="1"/>
  <c r="I401" i="23"/>
  <c r="H401" i="23"/>
  <c r="I400" i="23"/>
  <c r="H400" i="23"/>
  <c r="I399" i="23"/>
  <c r="H399" i="23"/>
  <c r="I395" i="23"/>
  <c r="H395" i="23"/>
  <c r="I394" i="23"/>
  <c r="H394" i="23"/>
  <c r="I393" i="23"/>
  <c r="H393" i="23"/>
  <c r="I392" i="23"/>
  <c r="H392" i="23"/>
  <c r="I391" i="23"/>
  <c r="H391" i="23"/>
  <c r="I390" i="23"/>
  <c r="H390" i="23"/>
  <c r="I389" i="23"/>
  <c r="H389" i="23"/>
  <c r="I388" i="23"/>
  <c r="H388" i="23"/>
  <c r="I387" i="23"/>
  <c r="H387" i="23"/>
  <c r="I385" i="23"/>
  <c r="H385" i="23"/>
  <c r="I384" i="23"/>
  <c r="O384" i="23" s="1"/>
  <c r="H384" i="23"/>
  <c r="I383" i="23"/>
  <c r="H383" i="23"/>
  <c r="I382" i="23"/>
  <c r="H382" i="23"/>
  <c r="H378" i="23"/>
  <c r="N378" i="23" s="1"/>
  <c r="I376" i="23"/>
  <c r="H376" i="23"/>
  <c r="I375" i="23"/>
  <c r="H375" i="23"/>
  <c r="H373" i="23"/>
  <c r="H371" i="23"/>
  <c r="H370" i="23"/>
  <c r="H369" i="23"/>
  <c r="H368" i="23"/>
  <c r="H367" i="23"/>
  <c r="H365" i="23"/>
  <c r="H364" i="23"/>
  <c r="H363" i="23"/>
  <c r="I362" i="23"/>
  <c r="H362" i="23"/>
  <c r="I360" i="23"/>
  <c r="H360" i="23"/>
  <c r="I359" i="23"/>
  <c r="H359" i="23"/>
  <c r="H358" i="23"/>
  <c r="H357" i="23"/>
  <c r="I353" i="23"/>
  <c r="H353" i="23"/>
  <c r="H352" i="23"/>
  <c r="I351" i="23"/>
  <c r="H351" i="23"/>
  <c r="H349" i="23"/>
  <c r="AC349" i="23" s="1"/>
  <c r="I346" i="23"/>
  <c r="H346" i="23"/>
  <c r="I345" i="23"/>
  <c r="H345" i="23"/>
  <c r="I344" i="23"/>
  <c r="H344" i="23"/>
  <c r="I343" i="23"/>
  <c r="H343" i="23"/>
  <c r="I342" i="23"/>
  <c r="H342" i="23"/>
  <c r="I337" i="23"/>
  <c r="H337" i="23"/>
  <c r="I336" i="23"/>
  <c r="H336" i="23"/>
  <c r="I335" i="23"/>
  <c r="H335" i="23"/>
  <c r="H334" i="23"/>
  <c r="I333" i="23"/>
  <c r="H333" i="23"/>
  <c r="H332" i="23"/>
  <c r="H331" i="23"/>
  <c r="I330" i="23"/>
  <c r="H330" i="23"/>
  <c r="I328" i="23"/>
  <c r="H328" i="23"/>
  <c r="I326" i="23"/>
  <c r="H318" i="23"/>
  <c r="I316" i="23"/>
  <c r="H316" i="23"/>
  <c r="I304" i="23"/>
  <c r="H304" i="23"/>
  <c r="I303" i="23"/>
  <c r="H303" i="23"/>
  <c r="I302" i="23"/>
  <c r="H302" i="23"/>
  <c r="I301" i="23"/>
  <c r="H301" i="23"/>
  <c r="I297" i="23"/>
  <c r="H297" i="23"/>
  <c r="I296" i="23"/>
  <c r="H296" i="23"/>
  <c r="I295" i="23"/>
  <c r="H295" i="23"/>
  <c r="I294" i="23"/>
  <c r="H294" i="23"/>
  <c r="I293" i="23"/>
  <c r="H293" i="23"/>
  <c r="H290" i="23"/>
  <c r="H289" i="23"/>
  <c r="H288" i="23"/>
  <c r="I287" i="23"/>
  <c r="O287" i="23" s="1"/>
  <c r="I285" i="23" s="1"/>
  <c r="H287" i="23"/>
  <c r="I286" i="23"/>
  <c r="H286" i="23"/>
  <c r="I284" i="23"/>
  <c r="H284" i="23"/>
  <c r="I283" i="23"/>
  <c r="H283" i="23"/>
  <c r="H282" i="23"/>
  <c r="I281" i="23"/>
  <c r="H281" i="23"/>
  <c r="I280" i="23"/>
  <c r="H280" i="23"/>
  <c r="I279" i="23"/>
  <c r="H279" i="23"/>
  <c r="H276" i="23"/>
  <c r="H275" i="23"/>
  <c r="H274" i="23"/>
  <c r="H272" i="23"/>
  <c r="I271" i="23"/>
  <c r="H271" i="23"/>
  <c r="I270" i="23"/>
  <c r="H270" i="23"/>
  <c r="I269" i="23"/>
  <c r="H269" i="23"/>
  <c r="I268" i="23"/>
  <c r="H268" i="23"/>
  <c r="I266" i="23"/>
  <c r="H266" i="23"/>
  <c r="I265" i="23"/>
  <c r="H265" i="23"/>
  <c r="H264" i="23"/>
  <c r="I263" i="23"/>
  <c r="H263" i="23"/>
  <c r="H261" i="23"/>
  <c r="I261" i="23"/>
  <c r="H260" i="23"/>
  <c r="I260" i="23"/>
  <c r="I259" i="23"/>
  <c r="H259" i="23"/>
  <c r="I257" i="23"/>
  <c r="H257" i="23"/>
  <c r="I256" i="23"/>
  <c r="H256" i="23"/>
  <c r="I252" i="23"/>
  <c r="H252" i="23"/>
  <c r="H250" i="23"/>
  <c r="H249" i="23"/>
  <c r="H248" i="23"/>
  <c r="H247" i="23"/>
  <c r="I244" i="23"/>
  <c r="H244" i="23"/>
  <c r="I243" i="23"/>
  <c r="H243" i="23"/>
  <c r="H241" i="23"/>
  <c r="H237" i="23"/>
  <c r="H236" i="23"/>
  <c r="H233" i="23"/>
  <c r="H232" i="23"/>
  <c r="H229" i="23"/>
  <c r="H228" i="23"/>
  <c r="I227" i="23"/>
  <c r="H227" i="23"/>
  <c r="I226" i="23"/>
  <c r="H226" i="23"/>
  <c r="I225" i="23"/>
  <c r="H225" i="23"/>
  <c r="H224" i="23"/>
  <c r="H222" i="23"/>
  <c r="H217" i="23"/>
  <c r="I216" i="23"/>
  <c r="H216" i="23"/>
  <c r="I215" i="23"/>
  <c r="H215" i="23"/>
  <c r="I213" i="23"/>
  <c r="H213" i="23"/>
  <c r="I211" i="23"/>
  <c r="H211" i="23"/>
  <c r="I210" i="23"/>
  <c r="H210" i="23"/>
  <c r="I209" i="23"/>
  <c r="H209" i="23"/>
  <c r="I208" i="23"/>
  <c r="H208" i="23"/>
  <c r="I207" i="23"/>
  <c r="H207" i="23"/>
  <c r="I206" i="23"/>
  <c r="H206" i="23"/>
  <c r="I205" i="23"/>
  <c r="H205" i="23"/>
  <c r="I204" i="23"/>
  <c r="H204" i="23"/>
  <c r="I202" i="23"/>
  <c r="H202" i="23"/>
  <c r="I201" i="23"/>
  <c r="H201" i="23"/>
  <c r="I200" i="23"/>
  <c r="H200" i="23"/>
  <c r="I198" i="23"/>
  <c r="H198" i="23"/>
  <c r="I197" i="23"/>
  <c r="H197" i="23"/>
  <c r="I196" i="23"/>
  <c r="H196" i="23"/>
  <c r="I195" i="23"/>
  <c r="H195" i="23"/>
  <c r="I193" i="23"/>
  <c r="H193" i="23"/>
  <c r="I192" i="23"/>
  <c r="H192" i="23"/>
  <c r="I191" i="23"/>
  <c r="H191" i="23"/>
  <c r="I190" i="23"/>
  <c r="H190" i="23"/>
  <c r="H188" i="23"/>
  <c r="I186" i="23"/>
  <c r="H186" i="23"/>
  <c r="AC186" i="23" s="1"/>
  <c r="I184" i="23"/>
  <c r="AD184" i="23" s="1"/>
  <c r="I183" i="23"/>
  <c r="AD183" i="23" s="1"/>
  <c r="H183" i="23"/>
  <c r="AC183" i="23" s="1"/>
  <c r="I182" i="23"/>
  <c r="H182" i="23"/>
  <c r="I181" i="23"/>
  <c r="H181" i="23"/>
  <c r="I179" i="23"/>
  <c r="H179" i="23"/>
  <c r="I178" i="23"/>
  <c r="H178" i="23"/>
  <c r="I175" i="23"/>
  <c r="H175" i="23"/>
  <c r="I174" i="23"/>
  <c r="H174" i="23"/>
  <c r="I173" i="23"/>
  <c r="H173" i="23"/>
  <c r="I172" i="23"/>
  <c r="H172" i="23"/>
  <c r="I171" i="23"/>
  <c r="H171" i="23"/>
  <c r="H168" i="23"/>
  <c r="I161" i="23"/>
  <c r="I160" i="23"/>
  <c r="H160" i="23"/>
  <c r="I159" i="23"/>
  <c r="H159" i="23"/>
  <c r="I158" i="23"/>
  <c r="H158" i="23"/>
  <c r="I156" i="23"/>
  <c r="H156" i="23"/>
  <c r="I155" i="23"/>
  <c r="H155" i="23"/>
  <c r="I154" i="23"/>
  <c r="H154" i="23"/>
  <c r="I153" i="23"/>
  <c r="H153" i="23"/>
  <c r="H151" i="23"/>
  <c r="I148" i="23"/>
  <c r="H148" i="23"/>
  <c r="I147" i="23"/>
  <c r="H147" i="23"/>
  <c r="I146" i="23"/>
  <c r="H146" i="23"/>
  <c r="I144" i="23"/>
  <c r="H144" i="23"/>
  <c r="I143" i="23"/>
  <c r="H143" i="23"/>
  <c r="H141" i="23"/>
  <c r="I139" i="23"/>
  <c r="H139" i="23"/>
  <c r="I138" i="23"/>
  <c r="H138" i="23"/>
  <c r="I137" i="23"/>
  <c r="H137" i="23"/>
  <c r="I135" i="23"/>
  <c r="H135" i="23"/>
  <c r="I134" i="23"/>
  <c r="H134" i="23"/>
  <c r="I133" i="23"/>
  <c r="H133" i="23"/>
  <c r="I132" i="23"/>
  <c r="H132" i="23"/>
  <c r="I131" i="23"/>
  <c r="H131" i="23"/>
  <c r="I130" i="23"/>
  <c r="H130" i="23"/>
  <c r="I129" i="23"/>
  <c r="H129" i="23"/>
  <c r="I128" i="23"/>
  <c r="H128" i="23"/>
  <c r="I127" i="23"/>
  <c r="H127" i="23"/>
  <c r="I126" i="23"/>
  <c r="H126" i="23"/>
  <c r="I125" i="23"/>
  <c r="H125" i="23"/>
  <c r="H123" i="23"/>
  <c r="AC123" i="23" s="1"/>
  <c r="I120" i="23"/>
  <c r="H120" i="23"/>
  <c r="I119" i="23"/>
  <c r="H119" i="23"/>
  <c r="I117" i="23"/>
  <c r="H117" i="23"/>
  <c r="I116" i="23"/>
  <c r="H116" i="23"/>
  <c r="I115" i="23"/>
  <c r="H115" i="23"/>
  <c r="I114" i="23"/>
  <c r="H114" i="23"/>
  <c r="I113" i="23"/>
  <c r="H113" i="23"/>
  <c r="I110" i="23"/>
  <c r="H110" i="23"/>
  <c r="H108" i="23"/>
  <c r="H106" i="23"/>
  <c r="H105" i="23"/>
  <c r="H104" i="23"/>
  <c r="I103" i="23"/>
  <c r="H103" i="23"/>
  <c r="I102" i="23"/>
  <c r="H102" i="23"/>
  <c r="I101" i="23"/>
  <c r="H101" i="23"/>
  <c r="H98" i="23"/>
  <c r="I95" i="23"/>
  <c r="H95" i="23"/>
  <c r="I94" i="23"/>
  <c r="H94" i="23"/>
  <c r="I93" i="23"/>
  <c r="H93" i="23"/>
  <c r="I92" i="23"/>
  <c r="H92" i="23"/>
  <c r="H90" i="23"/>
  <c r="I88" i="23"/>
  <c r="H88" i="23"/>
  <c r="H87" i="23"/>
  <c r="I86" i="23"/>
  <c r="H86" i="23"/>
  <c r="H85" i="23"/>
  <c r="I84" i="23"/>
  <c r="H84" i="23"/>
  <c r="I83" i="23"/>
  <c r="O83" i="23" s="1"/>
  <c r="H83" i="23"/>
  <c r="I82" i="23"/>
  <c r="H82" i="23"/>
  <c r="L79" i="23"/>
  <c r="I79" i="23"/>
  <c r="AD79" i="23" s="1"/>
  <c r="H79" i="23"/>
  <c r="AC79" i="23" s="1"/>
  <c r="H76" i="23"/>
  <c r="AC76" i="23" s="1"/>
  <c r="I75" i="23"/>
  <c r="H75" i="23"/>
  <c r="AC75" i="23" s="1"/>
  <c r="I74" i="23"/>
  <c r="H74" i="23"/>
  <c r="AC74" i="23" s="1"/>
  <c r="I73" i="23"/>
  <c r="AD73" i="23" s="1"/>
  <c r="H73" i="23"/>
  <c r="AC73" i="23" s="1"/>
  <c r="I72" i="23"/>
  <c r="H72" i="23"/>
  <c r="I70" i="23"/>
  <c r="H70" i="23"/>
  <c r="I69" i="23"/>
  <c r="H69" i="23"/>
  <c r="I67" i="23"/>
  <c r="H67" i="23"/>
  <c r="I66" i="23"/>
  <c r="H66" i="23"/>
  <c r="I65" i="23"/>
  <c r="H65" i="23"/>
  <c r="I64" i="23"/>
  <c r="H64" i="23"/>
  <c r="I62" i="23"/>
  <c r="H62" i="23"/>
  <c r="I61" i="23"/>
  <c r="I60" i="23"/>
  <c r="H59" i="23"/>
  <c r="I58" i="23"/>
  <c r="H58" i="23"/>
  <c r="I57" i="23"/>
  <c r="H57" i="23"/>
  <c r="H53" i="23"/>
  <c r="H52" i="23"/>
  <c r="H51" i="23"/>
  <c r="I50" i="23"/>
  <c r="H50" i="23"/>
  <c r="I47" i="23"/>
  <c r="H47" i="23"/>
  <c r="I46" i="23"/>
  <c r="H46" i="23"/>
  <c r="I45" i="23"/>
  <c r="H45" i="23"/>
  <c r="I44" i="23"/>
  <c r="H44" i="23"/>
  <c r="I42" i="23"/>
  <c r="H42" i="23"/>
  <c r="I41" i="23"/>
  <c r="O41" i="23" s="1"/>
  <c r="H41" i="23"/>
  <c r="I40" i="23"/>
  <c r="O40" i="23" s="1"/>
  <c r="H40" i="23"/>
  <c r="I39" i="23"/>
  <c r="O39" i="23" s="1"/>
  <c r="H39" i="23"/>
  <c r="I38" i="23"/>
  <c r="O38" i="23" s="1"/>
  <c r="H38" i="23"/>
  <c r="I37" i="23"/>
  <c r="O37" i="23" s="1"/>
  <c r="H37" i="23"/>
  <c r="I36" i="23"/>
  <c r="O36" i="23" s="1"/>
  <c r="H36" i="23"/>
  <c r="H35" i="23"/>
  <c r="I34" i="23"/>
  <c r="O34" i="23" s="1"/>
  <c r="H34" i="23"/>
  <c r="I33" i="23"/>
  <c r="H33" i="23"/>
  <c r="I24" i="23"/>
  <c r="O24" i="23" s="1"/>
  <c r="H24" i="23"/>
  <c r="I23" i="23"/>
  <c r="O23" i="23" s="1"/>
  <c r="H23" i="23"/>
  <c r="I22" i="23"/>
  <c r="O22" i="23" s="1"/>
  <c r="H22" i="23"/>
  <c r="I21" i="23"/>
  <c r="O21" i="23" s="1"/>
  <c r="H21" i="23"/>
  <c r="I20" i="23"/>
  <c r="H20" i="23"/>
  <c r="I19" i="23"/>
  <c r="H19" i="23"/>
  <c r="I18" i="23"/>
  <c r="H18" i="23"/>
  <c r="I17" i="23"/>
  <c r="H17" i="23"/>
  <c r="I15" i="23"/>
  <c r="H15" i="23"/>
  <c r="I14" i="23"/>
  <c r="H14" i="23"/>
  <c r="I13" i="23"/>
  <c r="H13" i="23"/>
  <c r="I12" i="23"/>
  <c r="H12" i="23"/>
  <c r="I11" i="23"/>
  <c r="H11" i="23"/>
  <c r="I10" i="23"/>
  <c r="H10" i="23"/>
  <c r="I9" i="23"/>
  <c r="H9" i="23"/>
  <c r="I8" i="23"/>
  <c r="H8" i="23"/>
  <c r="I7" i="23"/>
  <c r="H7" i="23"/>
  <c r="AD42" i="23" l="1"/>
  <c r="O42" i="23"/>
  <c r="AD75" i="23"/>
  <c r="O75" i="23"/>
  <c r="AD74" i="23"/>
  <c r="O74" i="23"/>
  <c r="AC168" i="23"/>
  <c r="N168" i="23"/>
  <c r="N328" i="23"/>
  <c r="AC328" i="23"/>
  <c r="AC426" i="23"/>
  <c r="N426" i="23"/>
  <c r="P9" i="22"/>
  <c r="O9" i="22"/>
  <c r="F196" i="28"/>
  <c r="O225" i="23"/>
  <c r="AD225" i="23"/>
  <c r="F209" i="28"/>
  <c r="AD86" i="23"/>
  <c r="AC17" i="23"/>
  <c r="N17" i="23"/>
  <c r="AD17" i="23"/>
  <c r="O17" i="23"/>
  <c r="N54" i="22"/>
  <c r="F230" i="28"/>
  <c r="AD359" i="23"/>
  <c r="O359" i="23"/>
  <c r="AD362" i="23"/>
  <c r="O362" i="23"/>
  <c r="F11" i="28"/>
  <c r="AC113" i="23"/>
  <c r="N113" i="23"/>
  <c r="O125" i="23"/>
  <c r="AD125" i="23"/>
  <c r="AD113" i="23"/>
  <c r="O113" i="23"/>
  <c r="N125" i="23"/>
  <c r="AC125" i="23"/>
  <c r="F239" i="28"/>
  <c r="F56" i="28"/>
  <c r="N67" i="22"/>
  <c r="K71" i="28"/>
  <c r="F174" i="28"/>
  <c r="F227" i="28"/>
  <c r="F38" i="28"/>
  <c r="F9" i="28"/>
  <c r="V347" i="23"/>
  <c r="G66" i="22" s="1"/>
  <c r="U347" i="23"/>
  <c r="F66" i="22" s="1"/>
  <c r="T347" i="23"/>
  <c r="E66" i="22" s="1"/>
  <c r="W347" i="23"/>
  <c r="H66" i="22" s="1"/>
  <c r="F7" i="28"/>
  <c r="K209" i="28"/>
  <c r="F8" i="28"/>
  <c r="F71" i="28"/>
  <c r="F89" i="28"/>
  <c r="F108" i="28"/>
  <c r="K174" i="28"/>
  <c r="K227" i="28"/>
  <c r="K38" i="28"/>
  <c r="K11" i="28"/>
  <c r="E6" i="28"/>
  <c r="F151" i="28"/>
  <c r="K121" i="28"/>
  <c r="K89" i="28"/>
  <c r="N33" i="22"/>
  <c r="K56" i="28"/>
  <c r="K59" i="28" s="1"/>
  <c r="N23" i="22"/>
  <c r="K170" i="28"/>
  <c r="K146" i="28"/>
  <c r="N49" i="22"/>
  <c r="G6" i="28"/>
  <c r="K6" i="28" s="1"/>
  <c r="K230" i="28"/>
  <c r="K232" i="28" s="1"/>
  <c r="N81" i="22"/>
  <c r="K108" i="28"/>
  <c r="N38" i="22"/>
  <c r="K239" i="28"/>
  <c r="K241" i="28" s="1"/>
  <c r="K242" i="28" s="1"/>
  <c r="D6" i="28"/>
  <c r="F10" i="28"/>
  <c r="O14" i="23"/>
  <c r="AD14" i="23"/>
  <c r="O18" i="23"/>
  <c r="AD18" i="23"/>
  <c r="O20" i="23"/>
  <c r="AD20" i="23"/>
  <c r="AD22" i="23"/>
  <c r="AD24" i="23"/>
  <c r="AD34" i="23"/>
  <c r="AD36" i="23"/>
  <c r="AD38" i="23"/>
  <c r="AD40" i="23"/>
  <c r="O47" i="23"/>
  <c r="AD47" i="23"/>
  <c r="O50" i="23"/>
  <c r="AD50" i="23"/>
  <c r="N57" i="23"/>
  <c r="AC57" i="23"/>
  <c r="N59" i="23"/>
  <c r="AC59" i="23"/>
  <c r="O62" i="23"/>
  <c r="AD62" i="23"/>
  <c r="O65" i="23"/>
  <c r="AD65" i="23"/>
  <c r="O67" i="23"/>
  <c r="AD67" i="23"/>
  <c r="O70" i="23"/>
  <c r="AD70" i="23"/>
  <c r="O73" i="23"/>
  <c r="O79" i="23"/>
  <c r="N83" i="23"/>
  <c r="AC83" i="23"/>
  <c r="N85" i="23"/>
  <c r="AC85" i="23"/>
  <c r="N90" i="23"/>
  <c r="AC90" i="23"/>
  <c r="N93" i="23"/>
  <c r="AC93" i="23"/>
  <c r="N95" i="23"/>
  <c r="AC95" i="23"/>
  <c r="O102" i="23"/>
  <c r="AD102" i="23"/>
  <c r="AD104" i="23"/>
  <c r="O106" i="23"/>
  <c r="AD106" i="23"/>
  <c r="N115" i="23"/>
  <c r="AC115" i="23"/>
  <c r="N127" i="23"/>
  <c r="AC127" i="23"/>
  <c r="N129" i="23"/>
  <c r="AC129" i="23"/>
  <c r="N131" i="23"/>
  <c r="AC131" i="23"/>
  <c r="N134" i="23"/>
  <c r="AC134" i="23"/>
  <c r="N137" i="23"/>
  <c r="AC137" i="23"/>
  <c r="N139" i="23"/>
  <c r="AC139" i="23"/>
  <c r="N143" i="23"/>
  <c r="AC143" i="23"/>
  <c r="N146" i="23"/>
  <c r="AC146" i="23"/>
  <c r="N148" i="23"/>
  <c r="AC148" i="23"/>
  <c r="N153" i="23"/>
  <c r="AC153" i="23"/>
  <c r="N155" i="23"/>
  <c r="AC155" i="23"/>
  <c r="N158" i="23"/>
  <c r="AC158" i="23"/>
  <c r="N160" i="23"/>
  <c r="AC160" i="23"/>
  <c r="O171" i="23"/>
  <c r="AD171" i="23"/>
  <c r="O173" i="23"/>
  <c r="AD173" i="23"/>
  <c r="O175" i="23"/>
  <c r="AD175" i="23"/>
  <c r="O178" i="23"/>
  <c r="AD178" i="23"/>
  <c r="O182" i="23"/>
  <c r="AD182" i="23"/>
  <c r="O192" i="23"/>
  <c r="AD192" i="23"/>
  <c r="O195" i="23"/>
  <c r="AD195" i="23"/>
  <c r="O197" i="23"/>
  <c r="AD197" i="23"/>
  <c r="O204" i="23"/>
  <c r="AD204" i="23"/>
  <c r="O206" i="23"/>
  <c r="AD206" i="23"/>
  <c r="O208" i="23"/>
  <c r="AD208" i="23"/>
  <c r="O210" i="23"/>
  <c r="AD210" i="23"/>
  <c r="O213" i="23"/>
  <c r="AD213" i="23"/>
  <c r="O216" i="23"/>
  <c r="AD216" i="23"/>
  <c r="AD218" i="23"/>
  <c r="O227" i="23"/>
  <c r="AD227" i="23"/>
  <c r="N232" i="23"/>
  <c r="AC232" i="23"/>
  <c r="AD236" i="23"/>
  <c r="N241" i="23"/>
  <c r="AC241" i="23"/>
  <c r="N248" i="23"/>
  <c r="AC248" i="23"/>
  <c r="O252" i="23"/>
  <c r="I245" i="23" s="1"/>
  <c r="M47" i="22" s="1"/>
  <c r="AD252" i="23"/>
  <c r="O256" i="23"/>
  <c r="AD256" i="23"/>
  <c r="N259" i="23"/>
  <c r="AC259" i="23"/>
  <c r="O261" i="23"/>
  <c r="AD261" i="23"/>
  <c r="N264" i="23"/>
  <c r="AC264" i="23"/>
  <c r="N266" i="23"/>
  <c r="AC266" i="23"/>
  <c r="N269" i="23"/>
  <c r="AC269" i="23"/>
  <c r="N271" i="23"/>
  <c r="AC271" i="23"/>
  <c r="N275" i="23"/>
  <c r="AC275" i="23"/>
  <c r="N279" i="23"/>
  <c r="AC279" i="23"/>
  <c r="N281" i="23"/>
  <c r="AC281" i="23"/>
  <c r="O283" i="23"/>
  <c r="AD283" i="23"/>
  <c r="N289" i="23"/>
  <c r="AC289" i="23"/>
  <c r="N294" i="23"/>
  <c r="AC294" i="23"/>
  <c r="N296" i="23"/>
  <c r="AC296" i="23"/>
  <c r="N298" i="23"/>
  <c r="AC298" i="23"/>
  <c r="N301" i="23"/>
  <c r="AC301" i="23"/>
  <c r="N303" i="23"/>
  <c r="AC303" i="23"/>
  <c r="N310" i="23"/>
  <c r="AC310" i="23"/>
  <c r="N314" i="23"/>
  <c r="AC314" i="23"/>
  <c r="AD318" i="23"/>
  <c r="O321" i="23"/>
  <c r="AD321" i="23"/>
  <c r="N326" i="23"/>
  <c r="AC326" i="23"/>
  <c r="O330" i="23"/>
  <c r="AD330" i="23"/>
  <c r="N332" i="23"/>
  <c r="AC332" i="23"/>
  <c r="N335" i="23"/>
  <c r="AC335" i="23"/>
  <c r="N337" i="23"/>
  <c r="AC337" i="23"/>
  <c r="N343" i="23"/>
  <c r="AC343" i="23"/>
  <c r="N345" i="23"/>
  <c r="AC345" i="23"/>
  <c r="N349" i="23"/>
  <c r="H347" i="23" s="1"/>
  <c r="I66" i="22" s="1"/>
  <c r="S66" i="22" s="1"/>
  <c r="T66" i="22" s="1"/>
  <c r="N352" i="23"/>
  <c r="AC352" i="23"/>
  <c r="N358" i="23"/>
  <c r="AC358" i="23"/>
  <c r="O360" i="23"/>
  <c r="AD360" i="23"/>
  <c r="AD363" i="23"/>
  <c r="AD365" i="23"/>
  <c r="N369" i="23"/>
  <c r="AC369" i="23"/>
  <c r="N375" i="23"/>
  <c r="AC375" i="23"/>
  <c r="N377" i="23"/>
  <c r="AC377" i="23"/>
  <c r="AD379" i="23"/>
  <c r="N405" i="23"/>
  <c r="AC405" i="23"/>
  <c r="N410" i="23"/>
  <c r="AC410" i="23"/>
  <c r="N416" i="23"/>
  <c r="AC416" i="23"/>
  <c r="N418" i="23"/>
  <c r="AC418" i="23"/>
  <c r="N422" i="23"/>
  <c r="AC422" i="23"/>
  <c r="N424" i="23"/>
  <c r="AC424" i="23"/>
  <c r="O431" i="23"/>
  <c r="AD431" i="23"/>
  <c r="O437" i="23"/>
  <c r="AD437" i="23"/>
  <c r="O442" i="23"/>
  <c r="AD442" i="23"/>
  <c r="O445" i="23"/>
  <c r="AD445" i="23"/>
  <c r="O447" i="23"/>
  <c r="AD447" i="23"/>
  <c r="O450" i="23"/>
  <c r="AD450" i="23"/>
  <c r="O453" i="23"/>
  <c r="AD453" i="23"/>
  <c r="O461" i="23"/>
  <c r="AD461" i="23"/>
  <c r="N464" i="23"/>
  <c r="AC464" i="23"/>
  <c r="N466" i="23"/>
  <c r="AC466" i="23"/>
  <c r="N469" i="23"/>
  <c r="AC469" i="23"/>
  <c r="N471" i="23"/>
  <c r="AC471" i="23"/>
  <c r="N473" i="23"/>
  <c r="AC473" i="23"/>
  <c r="N475" i="23"/>
  <c r="AC475" i="23"/>
  <c r="N478" i="23"/>
  <c r="AC478" i="23"/>
  <c r="N480" i="23"/>
  <c r="AC480" i="23"/>
  <c r="N482" i="23"/>
  <c r="AC482" i="23"/>
  <c r="N484" i="23"/>
  <c r="AC484" i="23"/>
  <c r="N488" i="23"/>
  <c r="AC488" i="23"/>
  <c r="N490" i="23"/>
  <c r="AC490" i="23"/>
  <c r="N493" i="23"/>
  <c r="AC493" i="23"/>
  <c r="N15" i="23"/>
  <c r="AC15" i="23"/>
  <c r="N19" i="23"/>
  <c r="AC19" i="23"/>
  <c r="N21" i="23"/>
  <c r="AC21" i="23"/>
  <c r="N23" i="23"/>
  <c r="AC23" i="23"/>
  <c r="N33" i="23"/>
  <c r="AC33" i="23"/>
  <c r="N35" i="23"/>
  <c r="AC35" i="23"/>
  <c r="N37" i="23"/>
  <c r="AC37" i="23"/>
  <c r="N39" i="23"/>
  <c r="AC39" i="23"/>
  <c r="N41" i="23"/>
  <c r="AC41" i="23"/>
  <c r="N46" i="23"/>
  <c r="AC46" i="23"/>
  <c r="N51" i="23"/>
  <c r="AC51" i="23"/>
  <c r="O57" i="23"/>
  <c r="AD57" i="23"/>
  <c r="O60" i="23"/>
  <c r="AD60" i="23"/>
  <c r="N64" i="23"/>
  <c r="AC64" i="23"/>
  <c r="N66" i="23"/>
  <c r="AC66" i="23"/>
  <c r="N69" i="23"/>
  <c r="AC69" i="23"/>
  <c r="N72" i="23"/>
  <c r="AC72" i="23"/>
  <c r="N74" i="23"/>
  <c r="N76" i="23"/>
  <c r="N87" i="23"/>
  <c r="AC87" i="23"/>
  <c r="AD90" i="23"/>
  <c r="O93" i="23"/>
  <c r="AD93" i="23"/>
  <c r="O95" i="23"/>
  <c r="AD95" i="23"/>
  <c r="N101" i="23"/>
  <c r="AC101" i="23"/>
  <c r="N103" i="23"/>
  <c r="AC103" i="23"/>
  <c r="N105" i="23"/>
  <c r="AC105" i="23"/>
  <c r="O115" i="23"/>
  <c r="AD115" i="23"/>
  <c r="O127" i="23"/>
  <c r="AD127" i="23"/>
  <c r="O129" i="23"/>
  <c r="AD129" i="23"/>
  <c r="O134" i="23"/>
  <c r="AD134" i="23"/>
  <c r="O139" i="23"/>
  <c r="AD139" i="23"/>
  <c r="O143" i="23"/>
  <c r="AD143" i="23"/>
  <c r="O146" i="23"/>
  <c r="AD146" i="23"/>
  <c r="O148" i="23"/>
  <c r="AD148" i="23"/>
  <c r="O153" i="23"/>
  <c r="AD153" i="23"/>
  <c r="O155" i="23"/>
  <c r="AD155" i="23"/>
  <c r="O158" i="23"/>
  <c r="AD158" i="23"/>
  <c r="O160" i="23"/>
  <c r="AD160" i="23"/>
  <c r="N172" i="23"/>
  <c r="AC172" i="23"/>
  <c r="N174" i="23"/>
  <c r="AC174" i="23"/>
  <c r="N179" i="23"/>
  <c r="AC179" i="23"/>
  <c r="N183" i="23"/>
  <c r="N186" i="23"/>
  <c r="N188" i="23"/>
  <c r="AC188" i="23"/>
  <c r="N191" i="23"/>
  <c r="AC191" i="23"/>
  <c r="N193" i="23"/>
  <c r="AC193" i="23"/>
  <c r="N196" i="23"/>
  <c r="AC196" i="23"/>
  <c r="N198" i="23"/>
  <c r="AC198" i="23"/>
  <c r="N200" i="23"/>
  <c r="AC200" i="23"/>
  <c r="N202" i="23"/>
  <c r="AC202" i="23"/>
  <c r="N205" i="23"/>
  <c r="AC205" i="23"/>
  <c r="N207" i="23"/>
  <c r="AC207" i="23"/>
  <c r="N209" i="23"/>
  <c r="AC209" i="23"/>
  <c r="N211" i="23"/>
  <c r="AC211" i="23"/>
  <c r="N215" i="23"/>
  <c r="AC215" i="23"/>
  <c r="N217" i="23"/>
  <c r="AC217" i="23"/>
  <c r="N222" i="23"/>
  <c r="AC222" i="23"/>
  <c r="N225" i="23"/>
  <c r="AC225" i="23"/>
  <c r="N226" i="23"/>
  <c r="AC226" i="23"/>
  <c r="N228" i="23"/>
  <c r="AC228" i="23"/>
  <c r="N237" i="23"/>
  <c r="AC237" i="23"/>
  <c r="N243" i="23"/>
  <c r="AC243" i="23"/>
  <c r="N249" i="23"/>
  <c r="AC249" i="23"/>
  <c r="N257" i="23"/>
  <c r="AC257" i="23"/>
  <c r="O259" i="23"/>
  <c r="AD259" i="23"/>
  <c r="N261" i="23"/>
  <c r="AC261" i="23"/>
  <c r="AD264" i="23"/>
  <c r="O266" i="23"/>
  <c r="AD266" i="23"/>
  <c r="O269" i="23"/>
  <c r="AD269" i="23"/>
  <c r="O271" i="23"/>
  <c r="AD271" i="23"/>
  <c r="N276" i="23"/>
  <c r="AC276" i="23"/>
  <c r="O279" i="23"/>
  <c r="AD279" i="23"/>
  <c r="O281" i="23"/>
  <c r="AD281" i="23"/>
  <c r="N284" i="23"/>
  <c r="AC284" i="23"/>
  <c r="N287" i="23"/>
  <c r="AC287" i="23"/>
  <c r="N290" i="23"/>
  <c r="AC290" i="23"/>
  <c r="O294" i="23"/>
  <c r="AD294" i="23"/>
  <c r="O296" i="23"/>
  <c r="AD296" i="23"/>
  <c r="AD298" i="23"/>
  <c r="O301" i="23"/>
  <c r="AD301" i="23"/>
  <c r="O310" i="23"/>
  <c r="AD310" i="23"/>
  <c r="N316" i="23"/>
  <c r="AC316" i="23"/>
  <c r="N324" i="23"/>
  <c r="AC324" i="23"/>
  <c r="N333" i="23"/>
  <c r="AC333" i="23"/>
  <c r="O337" i="23"/>
  <c r="AD337" i="23"/>
  <c r="O345" i="23"/>
  <c r="AD345" i="23"/>
  <c r="N353" i="23"/>
  <c r="AC353" i="23"/>
  <c r="N359" i="23"/>
  <c r="AC359" i="23"/>
  <c r="N362" i="23"/>
  <c r="AC362" i="23"/>
  <c r="N364" i="23"/>
  <c r="AC364" i="23"/>
  <c r="N370" i="23"/>
  <c r="AC370" i="23"/>
  <c r="O375" i="23"/>
  <c r="AD375" i="23"/>
  <c r="N384" i="23"/>
  <c r="AC384" i="23"/>
  <c r="N387" i="23"/>
  <c r="AC387" i="23"/>
  <c r="N389" i="23"/>
  <c r="AC389" i="23"/>
  <c r="N391" i="23"/>
  <c r="AC391" i="23"/>
  <c r="N393" i="23"/>
  <c r="AC393" i="23"/>
  <c r="N406" i="23"/>
  <c r="AC406" i="23"/>
  <c r="AD413" i="23"/>
  <c r="AD416" i="23"/>
  <c r="AD418" i="23"/>
  <c r="AD422" i="23"/>
  <c r="AD424" i="23"/>
  <c r="N429" i="23"/>
  <c r="AC429" i="23"/>
  <c r="N435" i="23"/>
  <c r="AC435" i="23"/>
  <c r="N438" i="23"/>
  <c r="AC438" i="23"/>
  <c r="N440" i="23"/>
  <c r="AC440" i="23"/>
  <c r="N443" i="23"/>
  <c r="AC443" i="23"/>
  <c r="N446" i="23"/>
  <c r="AC446" i="23"/>
  <c r="N448" i="23"/>
  <c r="AC448" i="23"/>
  <c r="N451" i="23"/>
  <c r="AC451" i="23"/>
  <c r="N452" i="23"/>
  <c r="AC452" i="23"/>
  <c r="N454" i="23"/>
  <c r="AC454" i="23"/>
  <c r="N456" i="23"/>
  <c r="AC456" i="23"/>
  <c r="N459" i="23"/>
  <c r="AC459" i="23"/>
  <c r="N462" i="23"/>
  <c r="AC462" i="23"/>
  <c r="O464" i="23"/>
  <c r="AD464" i="23"/>
  <c r="O466" i="23"/>
  <c r="AD466" i="23"/>
  <c r="O469" i="23"/>
  <c r="AD469" i="23"/>
  <c r="O471" i="23"/>
  <c r="AD471" i="23"/>
  <c r="O473" i="23"/>
  <c r="AD473" i="23"/>
  <c r="O478" i="23"/>
  <c r="AD478" i="23"/>
  <c r="O480" i="23"/>
  <c r="AD480" i="23"/>
  <c r="O482" i="23"/>
  <c r="AD482" i="23"/>
  <c r="O484" i="23"/>
  <c r="AD484" i="23"/>
  <c r="O488" i="23"/>
  <c r="AD488" i="23"/>
  <c r="O490" i="23"/>
  <c r="AD490" i="23"/>
  <c r="O15" i="23"/>
  <c r="AD15" i="23"/>
  <c r="O19" i="23"/>
  <c r="AD19" i="23"/>
  <c r="AD21" i="23"/>
  <c r="AD23" i="23"/>
  <c r="O33" i="23"/>
  <c r="AD33" i="23"/>
  <c r="AD35" i="23"/>
  <c r="AD37" i="23"/>
  <c r="AD39" i="23"/>
  <c r="AD41" i="23"/>
  <c r="O46" i="23"/>
  <c r="AD46" i="23"/>
  <c r="N52" i="23"/>
  <c r="AC52" i="23"/>
  <c r="N58" i="23"/>
  <c r="AC58" i="23"/>
  <c r="O61" i="23"/>
  <c r="AD61" i="23"/>
  <c r="O64" i="23"/>
  <c r="AD64" i="23"/>
  <c r="O66" i="23"/>
  <c r="AD66" i="23"/>
  <c r="O69" i="23"/>
  <c r="AD69" i="23"/>
  <c r="O72" i="23"/>
  <c r="AD72" i="23"/>
  <c r="N82" i="23"/>
  <c r="AC82" i="23"/>
  <c r="N84" i="23"/>
  <c r="AC84" i="23"/>
  <c r="N88" i="23"/>
  <c r="AC88" i="23"/>
  <c r="N92" i="23"/>
  <c r="AC92" i="23"/>
  <c r="N94" i="23"/>
  <c r="AC94" i="23"/>
  <c r="O101" i="23"/>
  <c r="AD101" i="23"/>
  <c r="O103" i="23"/>
  <c r="AD103" i="23"/>
  <c r="O105" i="23"/>
  <c r="AD105" i="23"/>
  <c r="N116" i="23"/>
  <c r="AC116" i="23"/>
  <c r="N119" i="23"/>
  <c r="AC119" i="23"/>
  <c r="N123" i="23"/>
  <c r="N126" i="23"/>
  <c r="AC126" i="23"/>
  <c r="N128" i="23"/>
  <c r="AC128" i="23"/>
  <c r="N130" i="23"/>
  <c r="AC130" i="23"/>
  <c r="N132" i="23"/>
  <c r="AC132" i="23"/>
  <c r="N133" i="23"/>
  <c r="AC133" i="23"/>
  <c r="N135" i="23"/>
  <c r="AC135" i="23"/>
  <c r="N138" i="23"/>
  <c r="AC138" i="23"/>
  <c r="N141" i="23"/>
  <c r="AC141" i="23"/>
  <c r="N144" i="23"/>
  <c r="AC144" i="23"/>
  <c r="N147" i="23"/>
  <c r="AC147" i="23"/>
  <c r="N151" i="23"/>
  <c r="AC151" i="23"/>
  <c r="N154" i="23"/>
  <c r="AC154" i="23"/>
  <c r="N156" i="23"/>
  <c r="AC156" i="23"/>
  <c r="N159" i="23"/>
  <c r="AC159" i="23"/>
  <c r="O172" i="23"/>
  <c r="AD172" i="23"/>
  <c r="O174" i="23"/>
  <c r="AD174" i="23"/>
  <c r="O179" i="23"/>
  <c r="AD179" i="23"/>
  <c r="O183" i="23"/>
  <c r="O191" i="23"/>
  <c r="AD191" i="23"/>
  <c r="O193" i="23"/>
  <c r="AD193" i="23"/>
  <c r="O196" i="23"/>
  <c r="AD196" i="23"/>
  <c r="O205" i="23"/>
  <c r="AD205" i="23"/>
  <c r="O207" i="23"/>
  <c r="AD207" i="23"/>
  <c r="O209" i="23"/>
  <c r="AD209" i="23"/>
  <c r="O211" i="23"/>
  <c r="AD211" i="23"/>
  <c r="O215" i="23"/>
  <c r="AD215" i="23"/>
  <c r="AD217" i="23"/>
  <c r="N229" i="23"/>
  <c r="AC229" i="23"/>
  <c r="N233" i="23"/>
  <c r="AC233" i="23"/>
  <c r="AD237" i="23"/>
  <c r="N250" i="23"/>
  <c r="AC250" i="23"/>
  <c r="O257" i="23"/>
  <c r="AD257" i="23"/>
  <c r="O260" i="23"/>
  <c r="AD260" i="23"/>
  <c r="N263" i="23"/>
  <c r="AC263" i="23"/>
  <c r="N265" i="23"/>
  <c r="AC265" i="23"/>
  <c r="N268" i="23"/>
  <c r="AC268" i="23"/>
  <c r="N270" i="23"/>
  <c r="AC270" i="23"/>
  <c r="N272" i="23"/>
  <c r="AC272" i="23"/>
  <c r="N278" i="23"/>
  <c r="AC278" i="23"/>
  <c r="N282" i="23"/>
  <c r="AC282" i="23"/>
  <c r="O284" i="23"/>
  <c r="AD284" i="23"/>
  <c r="AD287" i="23"/>
  <c r="AB285" i="23" s="1"/>
  <c r="N293" i="23"/>
  <c r="AC293" i="23"/>
  <c r="N295" i="23"/>
  <c r="AC295" i="23"/>
  <c r="N297" i="23"/>
  <c r="AC297" i="23"/>
  <c r="N302" i="23"/>
  <c r="AC302" i="23"/>
  <c r="N304" i="23"/>
  <c r="AC304" i="23"/>
  <c r="N307" i="23"/>
  <c r="AC307" i="23"/>
  <c r="N309" i="23"/>
  <c r="AC309" i="23"/>
  <c r="N311" i="23"/>
  <c r="AC311" i="23"/>
  <c r="O316" i="23"/>
  <c r="AD316" i="23"/>
  <c r="AD324" i="23"/>
  <c r="N327" i="23"/>
  <c r="AC327" i="23"/>
  <c r="N336" i="23"/>
  <c r="AC336" i="23"/>
  <c r="N342" i="23"/>
  <c r="AC342" i="23"/>
  <c r="N344" i="23"/>
  <c r="AC344" i="23"/>
  <c r="N346" i="23"/>
  <c r="AC346" i="23"/>
  <c r="N351" i="23"/>
  <c r="AC351" i="23"/>
  <c r="O353" i="23"/>
  <c r="AD353" i="23"/>
  <c r="AD364" i="23"/>
  <c r="N367" i="23"/>
  <c r="AC367" i="23"/>
  <c r="N371" i="23"/>
  <c r="AC371" i="23"/>
  <c r="N376" i="23"/>
  <c r="AC376" i="23"/>
  <c r="AC378" i="23"/>
  <c r="AD384" i="23"/>
  <c r="N402" i="23"/>
  <c r="N409" i="23"/>
  <c r="AC409" i="23"/>
  <c r="N412" i="23"/>
  <c r="AC412" i="23"/>
  <c r="N414" i="23"/>
  <c r="AC414" i="23"/>
  <c r="N417" i="23"/>
  <c r="AC417" i="23"/>
  <c r="N420" i="23"/>
  <c r="AC420" i="23"/>
  <c r="N423" i="23"/>
  <c r="AC423" i="23"/>
  <c r="O429" i="23"/>
  <c r="AD429" i="23"/>
  <c r="AD435" i="23"/>
  <c r="O440" i="23"/>
  <c r="AD440" i="23"/>
  <c r="O443" i="23"/>
  <c r="AD443" i="23"/>
  <c r="O446" i="23"/>
  <c r="AD446" i="23"/>
  <c r="AD448" i="23"/>
  <c r="O451" i="23"/>
  <c r="AD451" i="23"/>
  <c r="O452" i="23"/>
  <c r="AD452" i="23"/>
  <c r="O454" i="23"/>
  <c r="AD454" i="23"/>
  <c r="O456" i="23"/>
  <c r="AD456" i="23"/>
  <c r="O459" i="23"/>
  <c r="AD459" i="23"/>
  <c r="N463" i="23"/>
  <c r="AC463" i="23"/>
  <c r="N465" i="23"/>
  <c r="AC465" i="23"/>
  <c r="N467" i="23"/>
  <c r="AC467" i="23"/>
  <c r="N470" i="23"/>
  <c r="AC470" i="23"/>
  <c r="N472" i="23"/>
  <c r="AC472" i="23"/>
  <c r="N474" i="23"/>
  <c r="AC474" i="23"/>
  <c r="N477" i="23"/>
  <c r="AC477" i="23"/>
  <c r="N479" i="23"/>
  <c r="AC479" i="23"/>
  <c r="N481" i="23"/>
  <c r="AC481" i="23"/>
  <c r="N483" i="23"/>
  <c r="AC483" i="23"/>
  <c r="N486" i="23"/>
  <c r="AC486" i="23"/>
  <c r="N489" i="23"/>
  <c r="AC489" i="23"/>
  <c r="N491" i="23"/>
  <c r="AC491" i="23"/>
  <c r="N14" i="23"/>
  <c r="AC14" i="23"/>
  <c r="N18" i="23"/>
  <c r="AC18" i="23"/>
  <c r="N20" i="23"/>
  <c r="AC20" i="23"/>
  <c r="N22" i="23"/>
  <c r="AC22" i="23"/>
  <c r="N24" i="23"/>
  <c r="AC24" i="23"/>
  <c r="N34" i="23"/>
  <c r="AC34" i="23"/>
  <c r="N36" i="23"/>
  <c r="AC36" i="23"/>
  <c r="N38" i="23"/>
  <c r="AC38" i="23"/>
  <c r="N40" i="23"/>
  <c r="AC40" i="23"/>
  <c r="N42" i="23"/>
  <c r="AC42" i="23"/>
  <c r="N47" i="23"/>
  <c r="AC47" i="23"/>
  <c r="N50" i="23"/>
  <c r="AC50" i="23"/>
  <c r="N53" i="23"/>
  <c r="AC53" i="23"/>
  <c r="O58" i="23"/>
  <c r="AD58" i="23"/>
  <c r="N62" i="23"/>
  <c r="AC62" i="23"/>
  <c r="N65" i="23"/>
  <c r="AC65" i="23"/>
  <c r="N67" i="23"/>
  <c r="AC67" i="23"/>
  <c r="N70" i="23"/>
  <c r="AC70" i="23"/>
  <c r="N73" i="23"/>
  <c r="N75" i="23"/>
  <c r="N79" i="23"/>
  <c r="O82" i="23"/>
  <c r="AD82" i="23"/>
  <c r="O84" i="23"/>
  <c r="AD84" i="23"/>
  <c r="N86" i="23"/>
  <c r="AC86" i="23"/>
  <c r="O92" i="23"/>
  <c r="AD92" i="23"/>
  <c r="O94" i="23"/>
  <c r="AD94" i="23"/>
  <c r="N98" i="23"/>
  <c r="AC98" i="23"/>
  <c r="N102" i="23"/>
  <c r="AC102" i="23"/>
  <c r="N104" i="23"/>
  <c r="AC104" i="23"/>
  <c r="N106" i="23"/>
  <c r="AC106" i="23"/>
  <c r="N108" i="23"/>
  <c r="AC108" i="23"/>
  <c r="O116" i="23"/>
  <c r="AD116" i="23"/>
  <c r="O119" i="23"/>
  <c r="AD119" i="23"/>
  <c r="AD123" i="23"/>
  <c r="O126" i="23"/>
  <c r="AD126" i="23"/>
  <c r="O130" i="23"/>
  <c r="AD130" i="23"/>
  <c r="O132" i="23"/>
  <c r="AD132" i="23"/>
  <c r="O133" i="23"/>
  <c r="AD133" i="23"/>
  <c r="O138" i="23"/>
  <c r="AD138" i="23"/>
  <c r="AD141" i="23"/>
  <c r="O144" i="23"/>
  <c r="AD144" i="23"/>
  <c r="O147" i="23"/>
  <c r="AD147" i="23"/>
  <c r="AD151" i="23"/>
  <c r="O156" i="23"/>
  <c r="AD156" i="23"/>
  <c r="O159" i="23"/>
  <c r="AD159" i="23"/>
  <c r="N171" i="23"/>
  <c r="AC171" i="23"/>
  <c r="N173" i="23"/>
  <c r="AC173" i="23"/>
  <c r="N175" i="23"/>
  <c r="AC175" i="23"/>
  <c r="N178" i="23"/>
  <c r="AC178" i="23"/>
  <c r="N182" i="23"/>
  <c r="AC182" i="23"/>
  <c r="O184" i="23"/>
  <c r="AC187" i="23"/>
  <c r="N192" i="23"/>
  <c r="AC192" i="23"/>
  <c r="N195" i="23"/>
  <c r="AC195" i="23"/>
  <c r="N197" i="23"/>
  <c r="AC197" i="23"/>
  <c r="N201" i="23"/>
  <c r="AC201" i="23"/>
  <c r="N204" i="23"/>
  <c r="AC204" i="23"/>
  <c r="N206" i="23"/>
  <c r="AC206" i="23"/>
  <c r="N208" i="23"/>
  <c r="AC208" i="23"/>
  <c r="N210" i="23"/>
  <c r="AC210" i="23"/>
  <c r="N213" i="23"/>
  <c r="AC213" i="23"/>
  <c r="N216" i="23"/>
  <c r="AC216" i="23"/>
  <c r="N218" i="23"/>
  <c r="AC218" i="23"/>
  <c r="N224" i="23"/>
  <c r="AC224" i="23"/>
  <c r="N227" i="23"/>
  <c r="AC227" i="23"/>
  <c r="N231" i="23"/>
  <c r="AC231" i="23"/>
  <c r="N236" i="23"/>
  <c r="AC236" i="23"/>
  <c r="N244" i="23"/>
  <c r="AC244" i="23"/>
  <c r="N247" i="23"/>
  <c r="AC247" i="23"/>
  <c r="N252" i="23"/>
  <c r="AC252" i="23"/>
  <c r="N256" i="23"/>
  <c r="AC256" i="23"/>
  <c r="N260" i="23"/>
  <c r="AC260" i="23"/>
  <c r="O263" i="23"/>
  <c r="AD263" i="23"/>
  <c r="O265" i="23"/>
  <c r="AD265" i="23"/>
  <c r="O268" i="23"/>
  <c r="AD268" i="23"/>
  <c r="O270" i="23"/>
  <c r="AD270" i="23"/>
  <c r="N274" i="23"/>
  <c r="AC274" i="23"/>
  <c r="O278" i="23"/>
  <c r="AD278" i="23"/>
  <c r="N283" i="23"/>
  <c r="AC283" i="23"/>
  <c r="N286" i="23"/>
  <c r="AC286" i="23"/>
  <c r="N288" i="23"/>
  <c r="AC288" i="23"/>
  <c r="O293" i="23"/>
  <c r="AD293" i="23"/>
  <c r="O295" i="23"/>
  <c r="AD295" i="23"/>
  <c r="O297" i="23"/>
  <c r="AD297" i="23"/>
  <c r="O302" i="23"/>
  <c r="AD302" i="23"/>
  <c r="N308" i="23"/>
  <c r="AC308" i="23"/>
  <c r="O309" i="23"/>
  <c r="AD309" i="23"/>
  <c r="AD311" i="23"/>
  <c r="N318" i="23"/>
  <c r="AC318" i="23"/>
  <c r="N321" i="23"/>
  <c r="AC321" i="23"/>
  <c r="N325" i="23"/>
  <c r="AC325" i="23"/>
  <c r="N330" i="23"/>
  <c r="AC330" i="23"/>
  <c r="N331" i="23"/>
  <c r="AC331" i="23"/>
  <c r="N334" i="23"/>
  <c r="AC334" i="23"/>
  <c r="O344" i="23"/>
  <c r="AD344" i="23"/>
  <c r="O346" i="23"/>
  <c r="AD346" i="23"/>
  <c r="O351" i="23"/>
  <c r="AD351" i="23"/>
  <c r="N357" i="23"/>
  <c r="AC357" i="23"/>
  <c r="N360" i="23"/>
  <c r="AC360" i="23"/>
  <c r="N363" i="23"/>
  <c r="AC363" i="23"/>
  <c r="N365" i="23"/>
  <c r="AC365" i="23"/>
  <c r="N368" i="23"/>
  <c r="AC368" i="23"/>
  <c r="N373" i="23"/>
  <c r="AC373" i="23"/>
  <c r="O376" i="23"/>
  <c r="AD376" i="23"/>
  <c r="AC379" i="23"/>
  <c r="N388" i="23"/>
  <c r="AC388" i="23"/>
  <c r="N390" i="23"/>
  <c r="AC390" i="23"/>
  <c r="N392" i="23"/>
  <c r="AC392" i="23"/>
  <c r="N394" i="23"/>
  <c r="AC394" i="23"/>
  <c r="AA398" i="23"/>
  <c r="Z398" i="23"/>
  <c r="AB398" i="23"/>
  <c r="AD412" i="23"/>
  <c r="AD414" i="23"/>
  <c r="AD417" i="23"/>
  <c r="AD423" i="23"/>
  <c r="N431" i="23"/>
  <c r="AC431" i="23"/>
  <c r="N437" i="23"/>
  <c r="AC437" i="23"/>
  <c r="N439" i="23"/>
  <c r="AC439" i="23"/>
  <c r="N442" i="23"/>
  <c r="AC442" i="23"/>
  <c r="N445" i="23"/>
  <c r="AC445" i="23"/>
  <c r="N447" i="23"/>
  <c r="AC447" i="23"/>
  <c r="N450" i="23"/>
  <c r="AC450" i="23"/>
  <c r="N453" i="23"/>
  <c r="AC453" i="23"/>
  <c r="N457" i="23"/>
  <c r="AC457" i="23"/>
  <c r="N460" i="23"/>
  <c r="AC460" i="23"/>
  <c r="N461" i="23"/>
  <c r="AC461" i="23"/>
  <c r="O463" i="23"/>
  <c r="AD463" i="23"/>
  <c r="O465" i="23"/>
  <c r="AD465" i="23"/>
  <c r="O467" i="23"/>
  <c r="AD467" i="23"/>
  <c r="O470" i="23"/>
  <c r="AD470" i="23"/>
  <c r="O474" i="23"/>
  <c r="AD474" i="23"/>
  <c r="O477" i="23"/>
  <c r="AD477" i="23"/>
  <c r="O479" i="23"/>
  <c r="AD479" i="23"/>
  <c r="O481" i="23"/>
  <c r="AD481" i="23"/>
  <c r="O483" i="23"/>
  <c r="AD483" i="23"/>
  <c r="AD486" i="23"/>
  <c r="O489" i="23"/>
  <c r="AD489" i="23"/>
  <c r="O491" i="23"/>
  <c r="AD491" i="23"/>
  <c r="F121" i="28"/>
  <c r="H161" i="23"/>
  <c r="H61" i="23"/>
  <c r="H60" i="23"/>
  <c r="I214" i="23" l="1"/>
  <c r="U43" i="23"/>
  <c r="W43" i="23"/>
  <c r="T43" i="23"/>
  <c r="V43" i="23"/>
  <c r="AA43" i="23"/>
  <c r="Z43" i="23"/>
  <c r="AB43" i="23"/>
  <c r="T16" i="23"/>
  <c r="W16" i="23"/>
  <c r="V16" i="23"/>
  <c r="U16" i="23"/>
  <c r="I16" i="23"/>
  <c r="Z16" i="23"/>
  <c r="AB16" i="23"/>
  <c r="AA16" i="23"/>
  <c r="H16" i="23"/>
  <c r="I91" i="23"/>
  <c r="W91" i="23"/>
  <c r="T91" i="23"/>
  <c r="V91" i="23"/>
  <c r="U91" i="23"/>
  <c r="AB91" i="23"/>
  <c r="AA91" i="23"/>
  <c r="Z91" i="23"/>
  <c r="H91" i="23"/>
  <c r="I162" i="23"/>
  <c r="H162" i="23"/>
  <c r="H170" i="23"/>
  <c r="I170" i="23"/>
  <c r="AB170" i="23"/>
  <c r="AA170" i="23"/>
  <c r="Z170" i="23"/>
  <c r="V170" i="23"/>
  <c r="T170" i="23"/>
  <c r="U170" i="23"/>
  <c r="W170" i="23"/>
  <c r="H277" i="23"/>
  <c r="I277" i="23"/>
  <c r="I299" i="23"/>
  <c r="H299" i="23"/>
  <c r="H285" i="23"/>
  <c r="H350" i="23"/>
  <c r="I350" i="23"/>
  <c r="H386" i="23"/>
  <c r="V386" i="23"/>
  <c r="U386" i="23"/>
  <c r="T386" i="23"/>
  <c r="W386" i="23"/>
  <c r="N9" i="22"/>
  <c r="H245" i="23"/>
  <c r="I47" i="22" s="1"/>
  <c r="T245" i="23"/>
  <c r="E47" i="22" s="1"/>
  <c r="V245" i="23"/>
  <c r="G47" i="22" s="1"/>
  <c r="W245" i="23"/>
  <c r="H47" i="22" s="1"/>
  <c r="U245" i="23"/>
  <c r="F47" i="22" s="1"/>
  <c r="Z245" i="23"/>
  <c r="J47" i="22" s="1"/>
  <c r="AB245" i="23"/>
  <c r="L47" i="22" s="1"/>
  <c r="AA245" i="23"/>
  <c r="K47" i="22" s="1"/>
  <c r="I374" i="23"/>
  <c r="I425" i="23"/>
  <c r="Z299" i="23"/>
  <c r="Z109" i="23"/>
  <c r="J22" i="22" s="1"/>
  <c r="H319" i="23"/>
  <c r="I319" i="23"/>
  <c r="Z157" i="23"/>
  <c r="W487" i="23"/>
  <c r="I71" i="23"/>
  <c r="Z235" i="23"/>
  <c r="W152" i="23"/>
  <c r="W145" i="23"/>
  <c r="F6" i="28"/>
  <c r="K9" i="28"/>
  <c r="K8" i="28"/>
  <c r="K10" i="28" s="1"/>
  <c r="W366" i="23"/>
  <c r="W306" i="23"/>
  <c r="U180" i="23"/>
  <c r="AA152" i="23"/>
  <c r="W68" i="23"/>
  <c r="Z468" i="23"/>
  <c r="W425" i="23"/>
  <c r="Z415" i="23"/>
  <c r="U381" i="23"/>
  <c r="Z425" i="23"/>
  <c r="AB299" i="23"/>
  <c r="O59" i="23"/>
  <c r="AD59" i="23"/>
  <c r="Z56" i="23" s="1"/>
  <c r="AB411" i="23"/>
  <c r="AA411" i="23"/>
  <c r="Z411" i="23"/>
  <c r="U411" i="23"/>
  <c r="W411" i="23"/>
  <c r="V411" i="23"/>
  <c r="T411" i="23"/>
  <c r="W403" i="23"/>
  <c r="V403" i="23"/>
  <c r="U403" i="23"/>
  <c r="T403" i="23"/>
  <c r="W374" i="23"/>
  <c r="U366" i="23"/>
  <c r="V366" i="23"/>
  <c r="T366" i="23"/>
  <c r="V350" i="23"/>
  <c r="U350" i="23"/>
  <c r="T350" i="23"/>
  <c r="AB319" i="23"/>
  <c r="Z319" i="23"/>
  <c r="AA319" i="23"/>
  <c r="V306" i="23"/>
  <c r="U306" i="23"/>
  <c r="T306" i="23"/>
  <c r="U292" i="23"/>
  <c r="T292" i="23"/>
  <c r="W292" i="23"/>
  <c r="V292" i="23"/>
  <c r="Z277" i="23"/>
  <c r="U277" i="23"/>
  <c r="T277" i="23"/>
  <c r="W277" i="23"/>
  <c r="V277" i="23"/>
  <c r="Z258" i="23"/>
  <c r="Z189" i="23"/>
  <c r="AA180" i="23"/>
  <c r="AB180" i="23"/>
  <c r="W112" i="23"/>
  <c r="Z71" i="23"/>
  <c r="AB71" i="23"/>
  <c r="AA71" i="23"/>
  <c r="AB487" i="23"/>
  <c r="AA487" i="23"/>
  <c r="Z487" i="23"/>
  <c r="AB468" i="23"/>
  <c r="AA468" i="23"/>
  <c r="W441" i="23"/>
  <c r="AB421" i="23"/>
  <c r="AA421" i="23"/>
  <c r="Z421" i="23"/>
  <c r="AB415" i="23"/>
  <c r="AA415" i="23"/>
  <c r="W381" i="23"/>
  <c r="T381" i="23"/>
  <c r="V381" i="23"/>
  <c r="U323" i="23"/>
  <c r="T323" i="23"/>
  <c r="V323" i="23"/>
  <c r="W323" i="23"/>
  <c r="U315" i="23"/>
  <c r="F60" i="22" s="1"/>
  <c r="T315" i="23"/>
  <c r="E60" i="22" s="1"/>
  <c r="W315" i="23"/>
  <c r="H60" i="22" s="1"/>
  <c r="V315" i="23"/>
  <c r="G60" i="22" s="1"/>
  <c r="AB306" i="23"/>
  <c r="AA306" i="23"/>
  <c r="Z306" i="23"/>
  <c r="U71" i="23"/>
  <c r="T71" i="23"/>
  <c r="V71" i="23"/>
  <c r="W71" i="23"/>
  <c r="AB441" i="23"/>
  <c r="Z441" i="23"/>
  <c r="AA441" i="23"/>
  <c r="Z430" i="23"/>
  <c r="AB430" i="23"/>
  <c r="AA430" i="23"/>
  <c r="AB425" i="23"/>
  <c r="AB223" i="23"/>
  <c r="Z223" i="23"/>
  <c r="AA223" i="23"/>
  <c r="T136" i="23"/>
  <c r="W136" i="23"/>
  <c r="U136" i="23"/>
  <c r="V136" i="23"/>
  <c r="V112" i="23"/>
  <c r="U112" i="23"/>
  <c r="T112" i="23"/>
  <c r="Z100" i="23"/>
  <c r="T81" i="23"/>
  <c r="Z32" i="23"/>
  <c r="U436" i="23"/>
  <c r="T436" i="23"/>
  <c r="W436" i="23"/>
  <c r="V436" i="23"/>
  <c r="N161" i="23"/>
  <c r="AC161" i="23"/>
  <c r="W142" i="23" s="1"/>
  <c r="W458" i="23"/>
  <c r="W449" i="23"/>
  <c r="T449" i="23"/>
  <c r="U449" i="23"/>
  <c r="V449" i="23"/>
  <c r="U430" i="23"/>
  <c r="W430" i="23"/>
  <c r="T430" i="23"/>
  <c r="V430" i="23"/>
  <c r="AB292" i="23"/>
  <c r="AA292" i="23"/>
  <c r="Z292" i="23"/>
  <c r="V285" i="23"/>
  <c r="T285" i="23"/>
  <c r="AA277" i="23"/>
  <c r="AB277" i="23"/>
  <c r="V223" i="23"/>
  <c r="U223" i="23"/>
  <c r="W212" i="23"/>
  <c r="H42" i="22" s="1"/>
  <c r="V212" i="23"/>
  <c r="G42" i="22" s="1"/>
  <c r="U212" i="23"/>
  <c r="F42" i="22" s="1"/>
  <c r="T212" i="23"/>
  <c r="E42" i="22" s="1"/>
  <c r="U203" i="23"/>
  <c r="F41" i="22" s="1"/>
  <c r="W203" i="23"/>
  <c r="H41" i="22" s="1"/>
  <c r="T203" i="23"/>
  <c r="E41" i="22" s="1"/>
  <c r="W194" i="23"/>
  <c r="U194" i="23"/>
  <c r="V194" i="23"/>
  <c r="T194" i="23"/>
  <c r="V189" i="23"/>
  <c r="T189" i="23"/>
  <c r="U189" i="23"/>
  <c r="AB136" i="23"/>
  <c r="AA136" i="23"/>
  <c r="Z136" i="23"/>
  <c r="AB124" i="23"/>
  <c r="Z124" i="23"/>
  <c r="AA124" i="23"/>
  <c r="AA118" i="23"/>
  <c r="AB118" i="23"/>
  <c r="Z118" i="23"/>
  <c r="W100" i="23"/>
  <c r="T425" i="23"/>
  <c r="W285" i="23"/>
  <c r="AB258" i="23"/>
  <c r="AA258" i="23"/>
  <c r="T199" i="23"/>
  <c r="Z152" i="23"/>
  <c r="AB142" i="23"/>
  <c r="AA142" i="23"/>
  <c r="Z142" i="23"/>
  <c r="AB112" i="23"/>
  <c r="AA112" i="23"/>
  <c r="U407" i="23"/>
  <c r="AA356" i="23"/>
  <c r="AB356" i="23"/>
  <c r="Z356" i="23"/>
  <c r="W350" i="23"/>
  <c r="AA285" i="23"/>
  <c r="N61" i="23"/>
  <c r="AC61" i="23"/>
  <c r="V441" i="23"/>
  <c r="U441" i="23"/>
  <c r="T441" i="23"/>
  <c r="Z476" i="23"/>
  <c r="AB476" i="23"/>
  <c r="AA476" i="23"/>
  <c r="V444" i="23"/>
  <c r="U444" i="23"/>
  <c r="T444" i="23"/>
  <c r="U356" i="23"/>
  <c r="T356" i="23"/>
  <c r="W356" i="23"/>
  <c r="V356" i="23"/>
  <c r="W329" i="23"/>
  <c r="T329" i="23"/>
  <c r="V329" i="23"/>
  <c r="U329" i="23"/>
  <c r="N60" i="23"/>
  <c r="AC60" i="23"/>
  <c r="U425" i="23"/>
  <c r="T407" i="23"/>
  <c r="W407" i="23"/>
  <c r="V407" i="23"/>
  <c r="U398" i="23"/>
  <c r="T398" i="23"/>
  <c r="W398" i="23"/>
  <c r="V398" i="23"/>
  <c r="AB381" i="23"/>
  <c r="AA381" i="23"/>
  <c r="Z381" i="23"/>
  <c r="V338" i="23"/>
  <c r="T338" i="23"/>
  <c r="W338" i="23"/>
  <c r="AB323" i="23"/>
  <c r="Z323" i="23"/>
  <c r="AA323" i="23"/>
  <c r="Z315" i="23"/>
  <c r="J60" i="22" s="1"/>
  <c r="AA315" i="23"/>
  <c r="K60" i="22" s="1"/>
  <c r="AB315" i="23"/>
  <c r="L60" i="22" s="1"/>
  <c r="U267" i="23"/>
  <c r="V267" i="23"/>
  <c r="W267" i="23"/>
  <c r="T262" i="23"/>
  <c r="V262" i="23"/>
  <c r="W262" i="23"/>
  <c r="AB242" i="23"/>
  <c r="L46" i="22" s="1"/>
  <c r="AA242" i="23"/>
  <c r="K46" i="22" s="1"/>
  <c r="AB214" i="23"/>
  <c r="AA214" i="23"/>
  <c r="Z214" i="23"/>
  <c r="Z203" i="23"/>
  <c r="J41" i="22" s="1"/>
  <c r="U124" i="23"/>
  <c r="V124" i="23"/>
  <c r="W124" i="23"/>
  <c r="T124" i="23"/>
  <c r="T118" i="23"/>
  <c r="U118" i="23"/>
  <c r="V118" i="23"/>
  <c r="W118" i="23"/>
  <c r="AA100" i="23"/>
  <c r="AB100" i="23"/>
  <c r="U81" i="23"/>
  <c r="V81" i="23"/>
  <c r="W81" i="23"/>
  <c r="AB68" i="23"/>
  <c r="Z68" i="23"/>
  <c r="AA68" i="23"/>
  <c r="AB63" i="23"/>
  <c r="AA63" i="23"/>
  <c r="Z63" i="23"/>
  <c r="AA32" i="23"/>
  <c r="AB32" i="23"/>
  <c r="U458" i="23"/>
  <c r="T458" i="23"/>
  <c r="V458" i="23"/>
  <c r="W444" i="23"/>
  <c r="AB374" i="23"/>
  <c r="AA374" i="23"/>
  <c r="Z374" i="23"/>
  <c r="W319" i="23"/>
  <c r="U319" i="23"/>
  <c r="V319" i="23"/>
  <c r="T319" i="23"/>
  <c r="V68" i="23"/>
  <c r="T68" i="23"/>
  <c r="U68" i="23"/>
  <c r="V63" i="23"/>
  <c r="U63" i="23"/>
  <c r="T63" i="23"/>
  <c r="W32" i="23"/>
  <c r="V32" i="23"/>
  <c r="U32" i="23"/>
  <c r="T32" i="23"/>
  <c r="T492" i="23"/>
  <c r="W492" i="23"/>
  <c r="V492" i="23"/>
  <c r="U492" i="23"/>
  <c r="U487" i="23"/>
  <c r="V487" i="23"/>
  <c r="T487" i="23"/>
  <c r="U468" i="23"/>
  <c r="V468" i="23"/>
  <c r="W468" i="23"/>
  <c r="T468" i="23"/>
  <c r="AB449" i="23"/>
  <c r="Z449" i="23"/>
  <c r="AA449" i="23"/>
  <c r="AB444" i="23"/>
  <c r="AA444" i="23"/>
  <c r="Z444" i="23"/>
  <c r="Z436" i="23"/>
  <c r="AB436" i="23"/>
  <c r="AA436" i="23"/>
  <c r="AA425" i="23"/>
  <c r="Z285" i="23"/>
  <c r="T267" i="23"/>
  <c r="U262" i="23"/>
  <c r="V258" i="23"/>
  <c r="U258" i="23"/>
  <c r="W258" i="23"/>
  <c r="H49" i="22" s="1"/>
  <c r="T258" i="23"/>
  <c r="AB255" i="23"/>
  <c r="L48" i="22" s="1"/>
  <c r="Z255" i="23"/>
  <c r="J48" i="22" s="1"/>
  <c r="AA255" i="23"/>
  <c r="K48" i="22" s="1"/>
  <c r="Z242" i="23"/>
  <c r="J46" i="22" s="1"/>
  <c r="AB235" i="23"/>
  <c r="AA235" i="23"/>
  <c r="AB212" i="23"/>
  <c r="L42" i="22" s="1"/>
  <c r="AA212" i="23"/>
  <c r="K42" i="22" s="1"/>
  <c r="Z212" i="23"/>
  <c r="J42" i="22" s="1"/>
  <c r="AB203" i="23"/>
  <c r="L41" i="22" s="1"/>
  <c r="AA203" i="23"/>
  <c r="K41" i="22" s="1"/>
  <c r="AB194" i="23"/>
  <c r="Z194" i="23"/>
  <c r="AA194" i="23"/>
  <c r="AB189" i="23"/>
  <c r="AA189" i="23"/>
  <c r="Z180" i="23"/>
  <c r="Z177" i="23"/>
  <c r="AA177" i="23"/>
  <c r="AB177" i="23"/>
  <c r="AA162" i="23"/>
  <c r="AB162" i="23"/>
  <c r="Z162" i="23"/>
  <c r="T152" i="23"/>
  <c r="U152" i="23"/>
  <c r="V152" i="23"/>
  <c r="T145" i="23"/>
  <c r="U145" i="23"/>
  <c r="V145" i="23"/>
  <c r="W109" i="23"/>
  <c r="H22" i="22" s="1"/>
  <c r="T109" i="23"/>
  <c r="E22" i="22" s="1"/>
  <c r="U109" i="23"/>
  <c r="F22" i="22" s="1"/>
  <c r="V109" i="23"/>
  <c r="G22" i="22" s="1"/>
  <c r="AA49" i="23"/>
  <c r="AB49" i="23"/>
  <c r="Z49" i="23"/>
  <c r="AB350" i="23"/>
  <c r="AA350" i="23"/>
  <c r="Z350" i="23"/>
  <c r="AB338" i="23"/>
  <c r="Z338" i="23"/>
  <c r="AA338" i="23"/>
  <c r="W273" i="23"/>
  <c r="V273" i="23"/>
  <c r="T273" i="23"/>
  <c r="U273" i="23"/>
  <c r="AB267" i="23"/>
  <c r="AA267" i="23"/>
  <c r="Z267" i="23"/>
  <c r="AB262" i="23"/>
  <c r="AA262" i="23"/>
  <c r="Z262" i="23"/>
  <c r="V255" i="23"/>
  <c r="G48" i="22" s="1"/>
  <c r="T255" i="23"/>
  <c r="E48" i="22" s="1"/>
  <c r="W255" i="23"/>
  <c r="H48" i="22" s="1"/>
  <c r="U255" i="23"/>
  <c r="F48" i="22" s="1"/>
  <c r="W235" i="23"/>
  <c r="T235" i="23"/>
  <c r="U235" i="23"/>
  <c r="V235" i="23"/>
  <c r="T223" i="23"/>
  <c r="W223" i="23"/>
  <c r="W180" i="23"/>
  <c r="U177" i="23"/>
  <c r="W177" i="23"/>
  <c r="V177" i="23"/>
  <c r="T177" i="23"/>
  <c r="T162" i="23"/>
  <c r="V162" i="23"/>
  <c r="U162" i="23"/>
  <c r="W162" i="23"/>
  <c r="Z112" i="23"/>
  <c r="Z81" i="23"/>
  <c r="AB81" i="23"/>
  <c r="AA81" i="23"/>
  <c r="W63" i="23"/>
  <c r="V49" i="23"/>
  <c r="W49" i="23"/>
  <c r="T49" i="23"/>
  <c r="U49" i="23"/>
  <c r="U476" i="23"/>
  <c r="W476" i="23"/>
  <c r="T476" i="23"/>
  <c r="V476" i="23"/>
  <c r="AA458" i="23"/>
  <c r="Z458" i="23"/>
  <c r="AB458" i="23"/>
  <c r="V425" i="23"/>
  <c r="AA299" i="23"/>
  <c r="U285" i="23"/>
  <c r="V242" i="23"/>
  <c r="G46" i="22" s="1"/>
  <c r="U242" i="23"/>
  <c r="F46" i="22" s="1"/>
  <c r="T242" i="23"/>
  <c r="E46" i="22" s="1"/>
  <c r="W242" i="23"/>
  <c r="H46" i="22" s="1"/>
  <c r="W214" i="23"/>
  <c r="U214" i="23"/>
  <c r="V214" i="23"/>
  <c r="T214" i="23"/>
  <c r="V203" i="23"/>
  <c r="G41" i="22" s="1"/>
  <c r="U199" i="23"/>
  <c r="V199" i="23"/>
  <c r="W199" i="23"/>
  <c r="W189" i="23"/>
  <c r="V180" i="23"/>
  <c r="T180" i="23"/>
  <c r="AA157" i="23"/>
  <c r="AB157" i="23"/>
  <c r="AB152" i="23"/>
  <c r="AB145" i="23"/>
  <c r="Z145" i="23"/>
  <c r="AA145" i="23"/>
  <c r="AB109" i="23"/>
  <c r="L22" i="22" s="1"/>
  <c r="AA109" i="23"/>
  <c r="K22" i="22" s="1"/>
  <c r="V100" i="23"/>
  <c r="T100" i="23"/>
  <c r="U100" i="23"/>
  <c r="U421" i="23"/>
  <c r="W421" i="23"/>
  <c r="V421" i="23"/>
  <c r="T421" i="23"/>
  <c r="U415" i="23"/>
  <c r="W415" i="23"/>
  <c r="V415" i="23"/>
  <c r="T415" i="23"/>
  <c r="U374" i="23"/>
  <c r="V374" i="23"/>
  <c r="T374" i="23"/>
  <c r="U338" i="23"/>
  <c r="AB329" i="23"/>
  <c r="AA329" i="23"/>
  <c r="Z329" i="23"/>
  <c r="W299" i="23"/>
  <c r="U299" i="23"/>
  <c r="T299" i="23"/>
  <c r="V299" i="23"/>
  <c r="T6" i="23" l="1"/>
  <c r="AB56" i="23"/>
  <c r="AA56" i="23"/>
  <c r="K13" i="28"/>
  <c r="K12" i="28"/>
  <c r="Z6" i="23"/>
  <c r="AB6" i="23"/>
  <c r="V157" i="23"/>
  <c r="AA6" i="23"/>
  <c r="AA497" i="23" s="1"/>
  <c r="W56" i="23"/>
  <c r="T157" i="23"/>
  <c r="U56" i="23"/>
  <c r="V142" i="23"/>
  <c r="U157" i="23"/>
  <c r="S425" i="23"/>
  <c r="U142" i="23"/>
  <c r="S277" i="23"/>
  <c r="W6" i="23"/>
  <c r="W497" i="23" s="1"/>
  <c r="S189" i="23"/>
  <c r="T56" i="23"/>
  <c r="T142" i="23"/>
  <c r="S381" i="23"/>
  <c r="W157" i="23"/>
  <c r="S350" i="23"/>
  <c r="S411" i="23"/>
  <c r="S258" i="23"/>
  <c r="S386" i="23"/>
  <c r="V6" i="23"/>
  <c r="S449" i="23"/>
  <c r="V56" i="23"/>
  <c r="S319" i="23"/>
  <c r="U6" i="23"/>
  <c r="S112" i="23"/>
  <c r="S71" i="23"/>
  <c r="S403" i="23"/>
  <c r="V497" i="23" l="1"/>
  <c r="V5" i="23" s="1"/>
  <c r="U497" i="23"/>
  <c r="U5" i="23" s="1"/>
  <c r="T497" i="23"/>
  <c r="T5" i="23" s="1"/>
  <c r="W5" i="23"/>
  <c r="Z497" i="23"/>
  <c r="Z5" i="23" s="1"/>
  <c r="AB497" i="23"/>
  <c r="AB5" i="23" s="1"/>
  <c r="AA5" i="23"/>
  <c r="K14" i="28"/>
  <c r="K17" i="28" s="1"/>
  <c r="S142" i="23"/>
  <c r="S6" i="23"/>
  <c r="S497" i="23" l="1"/>
  <c r="S5" i="23" s="1"/>
  <c r="R5" i="23" s="1"/>
  <c r="T1" i="23" s="1"/>
  <c r="Y1" i="23"/>
  <c r="AB1" i="23" s="1"/>
  <c r="K16" i="28"/>
  <c r="AA1" i="23" l="1"/>
  <c r="Z1" i="23"/>
  <c r="K18" i="28"/>
  <c r="K21" i="28" s="1"/>
  <c r="S1" i="23"/>
  <c r="W1" i="23"/>
  <c r="U1" i="23"/>
  <c r="V1" i="23"/>
  <c r="K20" i="28" l="1"/>
  <c r="K22" i="28" l="1"/>
  <c r="K24" i="28" s="1"/>
  <c r="K25" i="28" l="1"/>
  <c r="K28" i="28" l="1"/>
  <c r="K27" i="28"/>
  <c r="K31" i="28" l="1"/>
  <c r="K30" i="28"/>
  <c r="K34" i="28" l="1"/>
  <c r="K33" i="28"/>
  <c r="D36" i="22"/>
  <c r="K37" i="28" l="1"/>
  <c r="K36" i="28" l="1"/>
  <c r="R74" i="22"/>
  <c r="R75" i="22"/>
  <c r="R76" i="22"/>
  <c r="R77" i="22"/>
  <c r="R73" i="22"/>
  <c r="R72" i="22" l="1"/>
  <c r="V77" i="22" l="1"/>
  <c r="R90" i="22"/>
  <c r="L90" i="22"/>
  <c r="K90" i="22"/>
  <c r="J90" i="22"/>
  <c r="H90" i="22"/>
  <c r="G90" i="22"/>
  <c r="F90" i="22"/>
  <c r="E90" i="22"/>
  <c r="D90" i="22"/>
  <c r="C90" i="22"/>
  <c r="U77" i="22" l="1"/>
  <c r="W77" i="22"/>
  <c r="I255" i="23" l="1"/>
  <c r="M48" i="22" s="1"/>
  <c r="H255" i="23"/>
  <c r="I48" i="22" s="1"/>
  <c r="H492" i="23"/>
  <c r="I91" i="22" s="1"/>
  <c r="AK492" i="23" l="1"/>
  <c r="I180" i="23" l="1"/>
  <c r="M36" i="22" s="1"/>
  <c r="M22" i="22" l="1"/>
  <c r="I22" i="22" l="1"/>
  <c r="H68" i="23" l="1"/>
  <c r="R11" i="22" l="1"/>
  <c r="H63" i="23"/>
  <c r="I49" i="23"/>
  <c r="I63" i="23" l="1"/>
  <c r="M16" i="22" s="1"/>
  <c r="I68" i="23"/>
  <c r="M17" i="22" s="1"/>
  <c r="I356" i="23" l="1"/>
  <c r="H366" i="23" l="1"/>
  <c r="H356" i="23"/>
  <c r="R37" i="22" l="1"/>
  <c r="V37" i="22"/>
  <c r="C36" i="22"/>
  <c r="L36" i="22"/>
  <c r="K36" i="22"/>
  <c r="J36" i="22"/>
  <c r="H180" i="23" l="1"/>
  <c r="I36" i="22" s="1"/>
  <c r="E36" i="22" l="1"/>
  <c r="G36" i="22"/>
  <c r="F36" i="22"/>
  <c r="H36" i="22"/>
  <c r="D85" i="22" l="1"/>
  <c r="D84" i="22"/>
  <c r="D83" i="22"/>
  <c r="D82" i="22"/>
  <c r="R81" i="22" l="1"/>
  <c r="M40" i="22" l="1"/>
  <c r="R20" i="22" l="1"/>
  <c r="D91" i="22" l="1"/>
  <c r="D89" i="22"/>
  <c r="D88" i="22"/>
  <c r="D87" i="22"/>
  <c r="D86" i="22"/>
  <c r="D81" i="22"/>
  <c r="D80" i="22"/>
  <c r="D79" i="22"/>
  <c r="D78" i="22"/>
  <c r="D76" i="22"/>
  <c r="D70" i="22"/>
  <c r="D69" i="22"/>
  <c r="D68" i="22"/>
  <c r="D67" i="22"/>
  <c r="D64" i="22"/>
  <c r="D63" i="22"/>
  <c r="D62" i="22"/>
  <c r="D61" i="22"/>
  <c r="D59" i="22"/>
  <c r="D57" i="22"/>
  <c r="D56" i="22"/>
  <c r="D55" i="22"/>
  <c r="D54" i="22"/>
  <c r="D52" i="22"/>
  <c r="D51" i="22"/>
  <c r="D50" i="22"/>
  <c r="D49" i="22"/>
  <c r="D45" i="22"/>
  <c r="D44" i="22"/>
  <c r="D43" i="22"/>
  <c r="D40" i="22"/>
  <c r="D39" i="22"/>
  <c r="D38" i="22"/>
  <c r="D35" i="22"/>
  <c r="D34" i="22"/>
  <c r="D33" i="22"/>
  <c r="D31" i="22"/>
  <c r="D30" i="22"/>
  <c r="D29" i="22"/>
  <c r="D28" i="22"/>
  <c r="D26" i="22"/>
  <c r="D25" i="22"/>
  <c r="D24" i="22"/>
  <c r="D23" i="22"/>
  <c r="D21" i="22"/>
  <c r="D20" i="22"/>
  <c r="D19" i="22"/>
  <c r="D18" i="22"/>
  <c r="I17" i="22"/>
  <c r="D17" i="22"/>
  <c r="D16" i="22"/>
  <c r="D15" i="22"/>
  <c r="D14" i="22"/>
  <c r="D13" i="22"/>
  <c r="D12" i="22"/>
  <c r="D11" i="22"/>
  <c r="C38" i="22"/>
  <c r="C17" i="22"/>
  <c r="C15" i="22"/>
  <c r="C29" i="22"/>
  <c r="F29" i="22" l="1"/>
  <c r="F85" i="22"/>
  <c r="I430" i="23"/>
  <c r="M82" i="22" s="1"/>
  <c r="J17" i="22"/>
  <c r="K17" i="22"/>
  <c r="L17" i="22"/>
  <c r="H157" i="23"/>
  <c r="G29" i="22"/>
  <c r="H29" i="22" l="1"/>
  <c r="I112" i="23"/>
  <c r="H136" i="23"/>
  <c r="I124" i="23"/>
  <c r="C91" i="22"/>
  <c r="C89" i="22"/>
  <c r="C88" i="22"/>
  <c r="C87" i="22"/>
  <c r="C86" i="22"/>
  <c r="C85" i="22"/>
  <c r="H84" i="22"/>
  <c r="C84" i="22"/>
  <c r="H436" i="23"/>
  <c r="C83" i="22"/>
  <c r="J82" i="22"/>
  <c r="L82" i="22"/>
  <c r="C82" i="22"/>
  <c r="C81" i="22"/>
  <c r="C80" i="22"/>
  <c r="C79" i="22"/>
  <c r="C78" i="22"/>
  <c r="C76" i="22"/>
  <c r="C74" i="22"/>
  <c r="C72" i="22"/>
  <c r="C70" i="22"/>
  <c r="C69" i="22"/>
  <c r="C68" i="22"/>
  <c r="C67" i="22"/>
  <c r="C64" i="22"/>
  <c r="C63" i="22"/>
  <c r="C62" i="22"/>
  <c r="C61" i="22"/>
  <c r="C59" i="22"/>
  <c r="C56" i="22"/>
  <c r="C55" i="22"/>
  <c r="C54" i="22"/>
  <c r="C52" i="22"/>
  <c r="C51" i="22"/>
  <c r="C50" i="22"/>
  <c r="C49" i="22"/>
  <c r="C45" i="22"/>
  <c r="C44" i="22"/>
  <c r="C43" i="22"/>
  <c r="L40" i="22"/>
  <c r="C40" i="22"/>
  <c r="C39" i="22"/>
  <c r="C35" i="22"/>
  <c r="C34" i="22"/>
  <c r="C33" i="22"/>
  <c r="K31" i="22"/>
  <c r="F31" i="22"/>
  <c r="L31" i="22"/>
  <c r="G31" i="22"/>
  <c r="C31" i="22"/>
  <c r="I31" i="22"/>
  <c r="L30" i="22"/>
  <c r="C30" i="22"/>
  <c r="I152" i="23"/>
  <c r="L29" i="22"/>
  <c r="J29" i="22"/>
  <c r="I145" i="23"/>
  <c r="C28" i="22"/>
  <c r="L26" i="22"/>
  <c r="H26" i="22"/>
  <c r="C26" i="22"/>
  <c r="G25" i="22"/>
  <c r="C25" i="22"/>
  <c r="C24" i="22"/>
  <c r="I118" i="23"/>
  <c r="M24" i="22" s="1"/>
  <c r="C23" i="22"/>
  <c r="C21" i="22"/>
  <c r="C20" i="22"/>
  <c r="C19" i="22"/>
  <c r="C18" i="22"/>
  <c r="L16" i="22"/>
  <c r="K16" i="22"/>
  <c r="J16" i="22"/>
  <c r="C16" i="22"/>
  <c r="I16" i="22"/>
  <c r="C14" i="22"/>
  <c r="C13" i="22"/>
  <c r="C12" i="22"/>
  <c r="C11" i="22"/>
  <c r="H403" i="23" l="1"/>
  <c r="I75" i="22" s="1"/>
  <c r="L85" i="22"/>
  <c r="I177" i="23"/>
  <c r="J35" i="22"/>
  <c r="H212" i="23"/>
  <c r="I42" i="22" s="1"/>
  <c r="J76" i="22"/>
  <c r="H398" i="23"/>
  <c r="I381" i="23"/>
  <c r="M30" i="22"/>
  <c r="M29" i="22"/>
  <c r="G45" i="22"/>
  <c r="H235" i="23"/>
  <c r="I45" i="22" s="1"/>
  <c r="I436" i="23"/>
  <c r="M83" i="22" s="1"/>
  <c r="H112" i="23"/>
  <c r="I212" i="23"/>
  <c r="M42" i="22" s="1"/>
  <c r="I26" i="22"/>
  <c r="M25" i="22"/>
  <c r="AK109" i="23"/>
  <c r="E20" i="22"/>
  <c r="H17" i="22"/>
  <c r="F17" i="22"/>
  <c r="G17" i="22"/>
  <c r="E17" i="22"/>
  <c r="K14" i="22"/>
  <c r="L14" i="22"/>
  <c r="J14" i="22"/>
  <c r="H16" i="22"/>
  <c r="F16" i="22"/>
  <c r="G16" i="22"/>
  <c r="E16" i="22"/>
  <c r="I56" i="23"/>
  <c r="M15" i="22" s="1"/>
  <c r="I157" i="23"/>
  <c r="K19" i="22"/>
  <c r="I136" i="23"/>
  <c r="M26" i="22" s="1"/>
  <c r="H118" i="23"/>
  <c r="I441" i="23"/>
  <c r="I83" i="22"/>
  <c r="C75" i="22"/>
  <c r="H74" i="22"/>
  <c r="C73" i="22"/>
  <c r="C57" i="22"/>
  <c r="L69" i="22"/>
  <c r="K69" i="22"/>
  <c r="M14" i="22"/>
  <c r="L76" i="22"/>
  <c r="K89" i="22"/>
  <c r="L89" i="22"/>
  <c r="J89" i="22"/>
  <c r="L83" i="22"/>
  <c r="J40" i="22"/>
  <c r="K40" i="22"/>
  <c r="H152" i="23"/>
  <c r="G55" i="22"/>
  <c r="J69" i="22"/>
  <c r="M76" i="22"/>
  <c r="G52" i="22"/>
  <c r="K56" i="22"/>
  <c r="J59" i="22"/>
  <c r="L64" i="22"/>
  <c r="L80" i="22"/>
  <c r="H59" i="22"/>
  <c r="I235" i="23"/>
  <c r="M45" i="22" s="1"/>
  <c r="J55" i="22"/>
  <c r="L63" i="22"/>
  <c r="M74" i="22"/>
  <c r="J87" i="22"/>
  <c r="I458" i="23"/>
  <c r="H124" i="23"/>
  <c r="L24" i="22"/>
  <c r="K24" i="22"/>
  <c r="J24" i="22"/>
  <c r="H25" i="22"/>
  <c r="F25" i="22"/>
  <c r="G26" i="22"/>
  <c r="J28" i="22"/>
  <c r="L28" i="22"/>
  <c r="K28" i="22"/>
  <c r="G23" i="22"/>
  <c r="F23" i="22"/>
  <c r="E23" i="22"/>
  <c r="H23" i="22"/>
  <c r="L23" i="22"/>
  <c r="K23" i="22"/>
  <c r="J23" i="22"/>
  <c r="H24" i="22"/>
  <c r="G24" i="22"/>
  <c r="F24" i="22"/>
  <c r="E24" i="22"/>
  <c r="L25" i="22"/>
  <c r="K25" i="22"/>
  <c r="J25" i="22"/>
  <c r="E28" i="22"/>
  <c r="H28" i="22"/>
  <c r="G28" i="22"/>
  <c r="F28" i="22"/>
  <c r="E29" i="22"/>
  <c r="H30" i="22"/>
  <c r="G30" i="22"/>
  <c r="F30" i="22"/>
  <c r="E30" i="22"/>
  <c r="H71" i="23"/>
  <c r="E25" i="22"/>
  <c r="E26" i="22"/>
  <c r="J26" i="22"/>
  <c r="K29" i="22"/>
  <c r="J30" i="22"/>
  <c r="H31" i="22"/>
  <c r="F40" i="22"/>
  <c r="E40" i="22"/>
  <c r="H40" i="22"/>
  <c r="G40" i="22"/>
  <c r="F26" i="22"/>
  <c r="K26" i="22"/>
  <c r="H145" i="23"/>
  <c r="K30" i="22"/>
  <c r="J31" i="22"/>
  <c r="F45" i="22"/>
  <c r="L45" i="22"/>
  <c r="K45" i="22"/>
  <c r="J45" i="22"/>
  <c r="H45" i="22"/>
  <c r="G74" i="22"/>
  <c r="F74" i="22"/>
  <c r="G69" i="22"/>
  <c r="F69" i="22"/>
  <c r="E69" i="22"/>
  <c r="H69" i="22"/>
  <c r="L84" i="22"/>
  <c r="K84" i="22"/>
  <c r="J84" i="22"/>
  <c r="F81" i="22"/>
  <c r="E81" i="22"/>
  <c r="H81" i="22"/>
  <c r="G81" i="22"/>
  <c r="E82" i="22"/>
  <c r="H82" i="22"/>
  <c r="G82" i="22"/>
  <c r="F82" i="22"/>
  <c r="H83" i="22"/>
  <c r="G83" i="22"/>
  <c r="F83" i="22"/>
  <c r="E83" i="22"/>
  <c r="G84" i="22"/>
  <c r="E85" i="22"/>
  <c r="H85" i="22"/>
  <c r="G85" i="22"/>
  <c r="F91" i="22"/>
  <c r="K82" i="22"/>
  <c r="E84" i="22"/>
  <c r="H430" i="23"/>
  <c r="I82" i="22" s="1"/>
  <c r="F84" i="22"/>
  <c r="H441" i="23"/>
  <c r="R15" i="22"/>
  <c r="R12" i="22"/>
  <c r="V13" i="22"/>
  <c r="V14" i="22"/>
  <c r="R89" i="22"/>
  <c r="V89" i="22"/>
  <c r="R88" i="22"/>
  <c r="R87" i="22"/>
  <c r="R84" i="22"/>
  <c r="R83" i="22"/>
  <c r="R82" i="22"/>
  <c r="V80" i="22"/>
  <c r="R80" i="22"/>
  <c r="R79" i="22"/>
  <c r="V78" i="22"/>
  <c r="V76" i="22"/>
  <c r="V75" i="22"/>
  <c r="V74" i="22"/>
  <c r="V73" i="22"/>
  <c r="V72" i="22"/>
  <c r="V66" i="22"/>
  <c r="R65" i="22"/>
  <c r="V65" i="22"/>
  <c r="R64" i="22"/>
  <c r="V64" i="22"/>
  <c r="R63" i="22"/>
  <c r="V63" i="22"/>
  <c r="V62" i="22"/>
  <c r="R62" i="22"/>
  <c r="V61" i="22"/>
  <c r="R61" i="22"/>
  <c r="R60" i="22"/>
  <c r="V60" i="22"/>
  <c r="V59" i="22"/>
  <c r="R59" i="22"/>
  <c r="V58" i="22"/>
  <c r="R58" i="22"/>
  <c r="W58" i="22" s="1"/>
  <c r="R57" i="22"/>
  <c r="V57" i="22"/>
  <c r="V56" i="22"/>
  <c r="R55" i="22"/>
  <c r="V53" i="22"/>
  <c r="R53" i="22"/>
  <c r="V52" i="22"/>
  <c r="V51" i="22"/>
  <c r="V50" i="22"/>
  <c r="R50" i="22"/>
  <c r="V49" i="22"/>
  <c r="V48" i="22"/>
  <c r="R48" i="22"/>
  <c r="R47" i="22"/>
  <c r="V46" i="22"/>
  <c r="R46" i="22"/>
  <c r="V45" i="22"/>
  <c r="R45" i="22"/>
  <c r="V44" i="22"/>
  <c r="V41" i="22"/>
  <c r="R41" i="22"/>
  <c r="V40" i="22"/>
  <c r="R39" i="22"/>
  <c r="V39" i="22"/>
  <c r="V38" i="22"/>
  <c r="R36" i="22"/>
  <c r="V36" i="22"/>
  <c r="R35" i="22"/>
  <c r="V34" i="22"/>
  <c r="V33" i="22"/>
  <c r="R33" i="22"/>
  <c r="R32" i="22"/>
  <c r="V32" i="22"/>
  <c r="V31" i="22"/>
  <c r="R30" i="22"/>
  <c r="V29" i="22"/>
  <c r="V28" i="22"/>
  <c r="R28" i="22"/>
  <c r="V27" i="22"/>
  <c r="R27" i="22"/>
  <c r="V26" i="22"/>
  <c r="R26" i="22"/>
  <c r="V24" i="22"/>
  <c r="R24" i="22"/>
  <c r="V23" i="22"/>
  <c r="R23" i="22"/>
  <c r="R22" i="22"/>
  <c r="V22" i="22"/>
  <c r="V21" i="22"/>
  <c r="R21" i="22"/>
  <c r="V20" i="22"/>
  <c r="R19" i="22"/>
  <c r="V19" i="22"/>
  <c r="R17" i="22"/>
  <c r="S17" i="22" s="1"/>
  <c r="T17" i="22" s="1"/>
  <c r="V17" i="22"/>
  <c r="V16" i="22"/>
  <c r="V15" i="22"/>
  <c r="H381" i="23" l="1"/>
  <c r="E75" i="22"/>
  <c r="G75" i="22"/>
  <c r="H75" i="22"/>
  <c r="F75" i="22"/>
  <c r="E73" i="22"/>
  <c r="H449" i="23"/>
  <c r="I86" i="22" s="1"/>
  <c r="L86" i="22"/>
  <c r="I449" i="23"/>
  <c r="M86" i="22" s="1"/>
  <c r="H223" i="23"/>
  <c r="J86" i="22"/>
  <c r="K33" i="22"/>
  <c r="I223" i="23"/>
  <c r="K76" i="22"/>
  <c r="I189" i="23"/>
  <c r="M38" i="22" s="1"/>
  <c r="K62" i="22"/>
  <c r="H214" i="23"/>
  <c r="G34" i="22"/>
  <c r="H189" i="23"/>
  <c r="I38" i="22" s="1"/>
  <c r="M31" i="22"/>
  <c r="I142" i="23"/>
  <c r="M28" i="22" s="1"/>
  <c r="W26" i="22"/>
  <c r="H39" i="22"/>
  <c r="G80" i="22"/>
  <c r="I30" i="22"/>
  <c r="U30" i="22" s="1"/>
  <c r="I29" i="22"/>
  <c r="G91" i="22"/>
  <c r="E45" i="22"/>
  <c r="L91" i="22"/>
  <c r="H91" i="22"/>
  <c r="K91" i="22"/>
  <c r="E91" i="22"/>
  <c r="J91" i="22"/>
  <c r="K81" i="22"/>
  <c r="J85" i="22"/>
  <c r="K85" i="22"/>
  <c r="F89" i="22"/>
  <c r="G89" i="22"/>
  <c r="E89" i="22"/>
  <c r="H89" i="22"/>
  <c r="E88" i="22"/>
  <c r="H262" i="23"/>
  <c r="K20" i="22"/>
  <c r="M81" i="22"/>
  <c r="H80" i="22"/>
  <c r="I444" i="23"/>
  <c r="M85" i="22" s="1"/>
  <c r="M84" i="22"/>
  <c r="I84" i="22"/>
  <c r="W84" i="22" s="1"/>
  <c r="J79" i="22"/>
  <c r="F80" i="22"/>
  <c r="L79" i="22"/>
  <c r="E80" i="22"/>
  <c r="K79" i="22"/>
  <c r="F34" i="22"/>
  <c r="E34" i="22"/>
  <c r="H34" i="22"/>
  <c r="H199" i="23"/>
  <c r="I40" i="22" s="1"/>
  <c r="I25" i="22"/>
  <c r="I24" i="22"/>
  <c r="W24" i="22" s="1"/>
  <c r="M23" i="22"/>
  <c r="I23" i="22"/>
  <c r="W23" i="22" s="1"/>
  <c r="H6" i="23"/>
  <c r="I10" i="22" s="1"/>
  <c r="I81" i="23"/>
  <c r="I6" i="23"/>
  <c r="M10" i="22" s="1"/>
  <c r="I11" i="22"/>
  <c r="E15" i="22"/>
  <c r="J12" i="22"/>
  <c r="L12" i="22"/>
  <c r="K12" i="22"/>
  <c r="G12" i="22"/>
  <c r="F12" i="22"/>
  <c r="E12" i="22"/>
  <c r="G15" i="22"/>
  <c r="F15" i="22"/>
  <c r="K15" i="22"/>
  <c r="H15" i="22"/>
  <c r="F14" i="22"/>
  <c r="G14" i="22"/>
  <c r="H14" i="22"/>
  <c r="E14" i="22"/>
  <c r="G11" i="22"/>
  <c r="E11" i="22"/>
  <c r="H11" i="22"/>
  <c r="F11" i="22"/>
  <c r="E13" i="22"/>
  <c r="H13" i="22"/>
  <c r="F13" i="22"/>
  <c r="G13" i="22"/>
  <c r="J13" i="22"/>
  <c r="L13" i="22"/>
  <c r="K13" i="22"/>
  <c r="L15" i="22"/>
  <c r="L19" i="22"/>
  <c r="F62" i="22"/>
  <c r="H64" i="22"/>
  <c r="F64" i="22"/>
  <c r="E64" i="22"/>
  <c r="E62" i="22"/>
  <c r="F61" i="22"/>
  <c r="H61" i="22"/>
  <c r="J15" i="22"/>
  <c r="F87" i="22"/>
  <c r="J61" i="22"/>
  <c r="K61" i="22"/>
  <c r="L61" i="22"/>
  <c r="E61" i="22"/>
  <c r="G61" i="22"/>
  <c r="E54" i="22"/>
  <c r="F54" i="22"/>
  <c r="G54" i="22"/>
  <c r="I338" i="23"/>
  <c r="I323" i="23"/>
  <c r="H338" i="23"/>
  <c r="H323" i="23"/>
  <c r="H56" i="23"/>
  <c r="I15" i="22" s="1"/>
  <c r="H49" i="23"/>
  <c r="H32" i="23"/>
  <c r="I12" i="22" s="1"/>
  <c r="I32" i="23"/>
  <c r="M12" i="22" s="1"/>
  <c r="M11" i="22"/>
  <c r="H43" i="23"/>
  <c r="I13" i="22" s="1"/>
  <c r="G39" i="22"/>
  <c r="J19" i="22"/>
  <c r="I43" i="23"/>
  <c r="M13" i="22" s="1"/>
  <c r="L11" i="22"/>
  <c r="F18" i="22"/>
  <c r="K18" i="22"/>
  <c r="H100" i="23"/>
  <c r="I100" i="23"/>
  <c r="H142" i="23"/>
  <c r="H81" i="23"/>
  <c r="I19" i="22" s="1"/>
  <c r="W19" i="22" s="1"/>
  <c r="E18" i="22"/>
  <c r="E19" i="22"/>
  <c r="E39" i="22"/>
  <c r="H194" i="23"/>
  <c r="I194" i="23"/>
  <c r="I203" i="23"/>
  <c r="M41" i="22" s="1"/>
  <c r="F39" i="22"/>
  <c r="W83" i="22"/>
  <c r="L33" i="22"/>
  <c r="I33" i="22"/>
  <c r="W33" i="22" s="1"/>
  <c r="E33" i="22"/>
  <c r="G33" i="22"/>
  <c r="F33" i="22"/>
  <c r="H33" i="22"/>
  <c r="M33" i="22"/>
  <c r="I34" i="22"/>
  <c r="H458" i="23"/>
  <c r="M34" i="22"/>
  <c r="J62" i="22"/>
  <c r="I468" i="23"/>
  <c r="H19" i="22"/>
  <c r="H425" i="23"/>
  <c r="K11" i="22"/>
  <c r="J11" i="22"/>
  <c r="G59" i="22"/>
  <c r="F19" i="22"/>
  <c r="F20" i="22"/>
  <c r="H444" i="23"/>
  <c r="L62" i="22"/>
  <c r="F50" i="22"/>
  <c r="K63" i="22"/>
  <c r="J63" i="22"/>
  <c r="K80" i="22"/>
  <c r="J34" i="22"/>
  <c r="K83" i="22"/>
  <c r="L67" i="22"/>
  <c r="J83" i="22"/>
  <c r="G19" i="22"/>
  <c r="M75" i="22"/>
  <c r="G76" i="22"/>
  <c r="E76" i="22"/>
  <c r="L72" i="22"/>
  <c r="K72" i="22"/>
  <c r="E74" i="22"/>
  <c r="D74" i="22"/>
  <c r="G72" i="22"/>
  <c r="F72" i="22"/>
  <c r="I73" i="22"/>
  <c r="H72" i="22"/>
  <c r="J72" i="22"/>
  <c r="L10" i="22"/>
  <c r="J68" i="22"/>
  <c r="E68" i="22"/>
  <c r="H421" i="23"/>
  <c r="I476" i="23"/>
  <c r="F59" i="22"/>
  <c r="E59" i="22"/>
  <c r="I315" i="23"/>
  <c r="M60" i="22" s="1"/>
  <c r="G64" i="22"/>
  <c r="G68" i="22"/>
  <c r="L78" i="22"/>
  <c r="H73" i="22"/>
  <c r="U58" i="22"/>
  <c r="I258" i="23"/>
  <c r="M49" i="22" s="1"/>
  <c r="F56" i="22"/>
  <c r="M87" i="22"/>
  <c r="G88" i="22"/>
  <c r="U66" i="22"/>
  <c r="W66" i="22"/>
  <c r="W45" i="22"/>
  <c r="F63" i="22"/>
  <c r="F52" i="22"/>
  <c r="H55" i="22"/>
  <c r="U17" i="22"/>
  <c r="W17" i="22"/>
  <c r="H44" i="22"/>
  <c r="U27" i="22"/>
  <c r="W27" i="22"/>
  <c r="L56" i="22"/>
  <c r="U36" i="22"/>
  <c r="W36" i="22"/>
  <c r="U32" i="22"/>
  <c r="W32" i="22"/>
  <c r="U22" i="22"/>
  <c r="W22" i="22"/>
  <c r="K59" i="22"/>
  <c r="H52" i="22"/>
  <c r="E55" i="22"/>
  <c r="E52" i="22"/>
  <c r="F55" i="22"/>
  <c r="F44" i="22"/>
  <c r="L81" i="22"/>
  <c r="K57" i="22"/>
  <c r="J81" i="22"/>
  <c r="F76" i="22"/>
  <c r="L57" i="22"/>
  <c r="F57" i="22"/>
  <c r="J57" i="22"/>
  <c r="AK157" i="23"/>
  <c r="E31" i="22"/>
  <c r="K51" i="22"/>
  <c r="H374" i="23"/>
  <c r="E38" i="22"/>
  <c r="H63" i="22"/>
  <c r="H20" i="22"/>
  <c r="I69" i="22"/>
  <c r="H487" i="23"/>
  <c r="I90" i="22" s="1"/>
  <c r="L87" i="22"/>
  <c r="F88" i="22"/>
  <c r="H476" i="23"/>
  <c r="H88" i="22"/>
  <c r="H415" i="23"/>
  <c r="I79" i="22" s="1"/>
  <c r="W79" i="22" s="1"/>
  <c r="H407" i="23"/>
  <c r="F73" i="22"/>
  <c r="G73" i="22"/>
  <c r="H67" i="22"/>
  <c r="F68" i="22"/>
  <c r="H68" i="22"/>
  <c r="I329" i="23"/>
  <c r="M63" i="22" s="1"/>
  <c r="H315" i="23"/>
  <c r="I60" i="22" s="1"/>
  <c r="H306" i="23"/>
  <c r="J56" i="22"/>
  <c r="I306" i="23"/>
  <c r="M59" i="22" s="1"/>
  <c r="G63" i="22"/>
  <c r="L50" i="22"/>
  <c r="E63" i="22"/>
  <c r="H292" i="23"/>
  <c r="I56" i="22" s="1"/>
  <c r="I262" i="23"/>
  <c r="I267" i="23"/>
  <c r="L51" i="22"/>
  <c r="H50" i="22"/>
  <c r="E50" i="22"/>
  <c r="G50" i="22"/>
  <c r="H267" i="23"/>
  <c r="G44" i="22"/>
  <c r="E44" i="22"/>
  <c r="F38" i="22"/>
  <c r="G38" i="22"/>
  <c r="H38" i="22"/>
  <c r="L38" i="22"/>
  <c r="K38" i="22"/>
  <c r="J38" i="22"/>
  <c r="AK203" i="23"/>
  <c r="J33" i="22"/>
  <c r="H177" i="23"/>
  <c r="M35" i="22"/>
  <c r="G18" i="22"/>
  <c r="J21" i="22"/>
  <c r="M52" i="22"/>
  <c r="H242" i="23"/>
  <c r="AK242" i="23"/>
  <c r="K87" i="22"/>
  <c r="K35" i="22"/>
  <c r="L35" i="22"/>
  <c r="I74" i="22"/>
  <c r="AK398" i="23"/>
  <c r="L74" i="22"/>
  <c r="J74" i="22"/>
  <c r="K74" i="22"/>
  <c r="I411" i="23"/>
  <c r="H273" i="23"/>
  <c r="I52" i="22" s="1"/>
  <c r="K68" i="22"/>
  <c r="L68" i="22"/>
  <c r="I421" i="23"/>
  <c r="O421" i="23" s="1"/>
  <c r="AK444" i="23"/>
  <c r="AK441" i="23"/>
  <c r="AK425" i="23"/>
  <c r="AK145" i="23"/>
  <c r="AK124" i="23"/>
  <c r="AK118" i="23"/>
  <c r="AK142" i="23"/>
  <c r="AK366" i="23"/>
  <c r="AK152" i="23"/>
  <c r="AK199" i="23"/>
  <c r="AK112" i="23"/>
  <c r="AK430" i="23"/>
  <c r="AK136" i="23"/>
  <c r="AK436" i="23"/>
  <c r="AK63" i="23"/>
  <c r="K86" i="22"/>
  <c r="I487" i="23"/>
  <c r="M90" i="22" s="1"/>
  <c r="H79" i="22"/>
  <c r="G79" i="22"/>
  <c r="F79" i="22"/>
  <c r="E79" i="22"/>
  <c r="J78" i="22"/>
  <c r="I415" i="23"/>
  <c r="G87" i="22"/>
  <c r="L73" i="22"/>
  <c r="K73" i="22"/>
  <c r="J73" i="22"/>
  <c r="J70" i="22"/>
  <c r="L70" i="22"/>
  <c r="K70" i="22"/>
  <c r="H411" i="23"/>
  <c r="H70" i="22"/>
  <c r="H329" i="23"/>
  <c r="I63" i="22" s="1"/>
  <c r="I292" i="23"/>
  <c r="M56" i="22" s="1"/>
  <c r="F67" i="22"/>
  <c r="J64" i="22"/>
  <c r="L52" i="22"/>
  <c r="G51" i="22"/>
  <c r="F51" i="22"/>
  <c r="E51" i="22"/>
  <c r="H51" i="22"/>
  <c r="H62" i="22"/>
  <c r="G56" i="22"/>
  <c r="K55" i="22"/>
  <c r="J52" i="22"/>
  <c r="H203" i="23"/>
  <c r="I41" i="22" s="1"/>
  <c r="F49" i="22"/>
  <c r="J50" i="22"/>
  <c r="H21" i="22"/>
  <c r="K21" i="22"/>
  <c r="L18" i="22"/>
  <c r="K34" i="22"/>
  <c r="H18" i="22"/>
  <c r="K78" i="22"/>
  <c r="J80" i="22"/>
  <c r="H87" i="22"/>
  <c r="E70" i="22"/>
  <c r="G67" i="22"/>
  <c r="K64" i="22"/>
  <c r="H54" i="22"/>
  <c r="E67" i="22"/>
  <c r="L59" i="22"/>
  <c r="H56" i="22"/>
  <c r="J54" i="22"/>
  <c r="L55" i="22"/>
  <c r="J51" i="22"/>
  <c r="L44" i="22"/>
  <c r="K44" i="22"/>
  <c r="J44" i="22"/>
  <c r="K52" i="22"/>
  <c r="E49" i="22"/>
  <c r="J49" i="22"/>
  <c r="K50" i="22"/>
  <c r="F21" i="22"/>
  <c r="E21" i="22"/>
  <c r="H12" i="22"/>
  <c r="L20" i="22"/>
  <c r="J18" i="22"/>
  <c r="L34" i="22"/>
  <c r="H468" i="23"/>
  <c r="G78" i="22"/>
  <c r="F78" i="22"/>
  <c r="E78" i="22"/>
  <c r="H78" i="22"/>
  <c r="K67" i="22"/>
  <c r="F70" i="22"/>
  <c r="J67" i="22"/>
  <c r="K54" i="22"/>
  <c r="H35" i="22"/>
  <c r="E35" i="22"/>
  <c r="G35" i="22"/>
  <c r="F35" i="22"/>
  <c r="K49" i="22"/>
  <c r="G49" i="22"/>
  <c r="G21" i="22"/>
  <c r="L21" i="22"/>
  <c r="J20" i="22"/>
  <c r="L88" i="22"/>
  <c r="K88" i="22"/>
  <c r="J88" i="22"/>
  <c r="J75" i="22"/>
  <c r="L75" i="22"/>
  <c r="K75" i="22"/>
  <c r="G70" i="22"/>
  <c r="G62" i="22"/>
  <c r="L54" i="22"/>
  <c r="H258" i="23"/>
  <c r="L49" i="22"/>
  <c r="U26" i="22"/>
  <c r="V11" i="22"/>
  <c r="V12" i="22"/>
  <c r="R14" i="22"/>
  <c r="U45" i="22"/>
  <c r="R34" i="22"/>
  <c r="V47" i="22"/>
  <c r="R51" i="22"/>
  <c r="R78" i="22"/>
  <c r="V82" i="22"/>
  <c r="R13" i="22"/>
  <c r="U83" i="22"/>
  <c r="V87" i="22"/>
  <c r="R16" i="22"/>
  <c r="V30" i="22"/>
  <c r="R31" i="22"/>
  <c r="W31" i="22" s="1"/>
  <c r="V35" i="22"/>
  <c r="R38" i="22"/>
  <c r="R40" i="22"/>
  <c r="R44" i="22"/>
  <c r="R49" i="22"/>
  <c r="R52" i="22"/>
  <c r="V55" i="22"/>
  <c r="R56" i="22"/>
  <c r="V79" i="22"/>
  <c r="R29" i="22"/>
  <c r="V83" i="22"/>
  <c r="V84" i="22"/>
  <c r="V85" i="22"/>
  <c r="V88" i="22"/>
  <c r="W47" i="22" l="1"/>
  <c r="I46" i="22"/>
  <c r="S41" i="22"/>
  <c r="T41" i="22" s="1"/>
  <c r="M79" i="22"/>
  <c r="U79" i="22" s="1"/>
  <c r="AD3" i="23"/>
  <c r="M9" i="22" s="1"/>
  <c r="W41" i="22"/>
  <c r="U41" i="22"/>
  <c r="S40" i="22"/>
  <c r="T40" i="22" s="1"/>
  <c r="I76" i="22"/>
  <c r="U76" i="22" s="1"/>
  <c r="AC3" i="23"/>
  <c r="I9" i="22" s="1"/>
  <c r="AK403" i="23"/>
  <c r="D75" i="22"/>
  <c r="W73" i="22"/>
  <c r="S73" i="22"/>
  <c r="T73" i="22" s="1"/>
  <c r="AK421" i="23"/>
  <c r="U29" i="22"/>
  <c r="AK487" i="23"/>
  <c r="AK170" i="23"/>
  <c r="U24" i="22"/>
  <c r="W48" i="22"/>
  <c r="M44" i="22"/>
  <c r="I44" i="22"/>
  <c r="W44" i="22" s="1"/>
  <c r="I70" i="22"/>
  <c r="I67" i="22"/>
  <c r="M70" i="22"/>
  <c r="M67" i="22"/>
  <c r="I72" i="22"/>
  <c r="M72" i="22"/>
  <c r="S84" i="22" s="1"/>
  <c r="T84" i="22" s="1"/>
  <c r="I68" i="22"/>
  <c r="M68" i="22"/>
  <c r="I61" i="22"/>
  <c r="W61" i="22" s="1"/>
  <c r="M61" i="22"/>
  <c r="W65" i="22"/>
  <c r="I64" i="22"/>
  <c r="W64" i="22" s="1"/>
  <c r="M64" i="22"/>
  <c r="U84" i="22"/>
  <c r="W30" i="22"/>
  <c r="M62" i="22"/>
  <c r="I62" i="22"/>
  <c r="W62" i="22" s="1"/>
  <c r="I59" i="22"/>
  <c r="W59" i="22" s="1"/>
  <c r="M57" i="22"/>
  <c r="I57" i="22"/>
  <c r="M55" i="22"/>
  <c r="I55" i="22"/>
  <c r="W55" i="22" s="1"/>
  <c r="M54" i="22"/>
  <c r="I54" i="22"/>
  <c r="AK255" i="23"/>
  <c r="I28" i="22"/>
  <c r="W28" i="22" s="1"/>
  <c r="AK235" i="23"/>
  <c r="M43" i="22"/>
  <c r="I43" i="22"/>
  <c r="AK476" i="23"/>
  <c r="M89" i="22"/>
  <c r="I89" i="22"/>
  <c r="W89" i="22" s="1"/>
  <c r="M88" i="22"/>
  <c r="I87" i="22"/>
  <c r="W87" i="22" s="1"/>
  <c r="I85" i="22"/>
  <c r="U85" i="22" s="1"/>
  <c r="M80" i="22"/>
  <c r="I80" i="22"/>
  <c r="W80" i="22" s="1"/>
  <c r="M51" i="22"/>
  <c r="I51" i="22"/>
  <c r="W51" i="22" s="1"/>
  <c r="M50" i="22"/>
  <c r="I50" i="22"/>
  <c r="W50" i="22" s="1"/>
  <c r="I49" i="22"/>
  <c r="W49" i="22" s="1"/>
  <c r="U40" i="22"/>
  <c r="M39" i="22"/>
  <c r="I39" i="22"/>
  <c r="W39" i="22" s="1"/>
  <c r="I35" i="22"/>
  <c r="W35" i="22" s="1"/>
  <c r="U23" i="22"/>
  <c r="M21" i="22"/>
  <c r="I21" i="22"/>
  <c r="W21" i="22" s="1"/>
  <c r="M20" i="22"/>
  <c r="I20" i="22"/>
  <c r="W20" i="22" s="1"/>
  <c r="M19" i="22"/>
  <c r="M18" i="22"/>
  <c r="I18" i="22"/>
  <c r="AK56" i="23"/>
  <c r="AK43" i="23"/>
  <c r="S13" i="22"/>
  <c r="T13" i="22" s="1"/>
  <c r="AK49" i="23"/>
  <c r="I14" i="22"/>
  <c r="AK194" i="23"/>
  <c r="AK81" i="23"/>
  <c r="U75" i="22"/>
  <c r="D72" i="22"/>
  <c r="D73" i="22"/>
  <c r="E72" i="22"/>
  <c r="U73" i="22"/>
  <c r="U12" i="22"/>
  <c r="AK306" i="23"/>
  <c r="AK285" i="23"/>
  <c r="AK338" i="23"/>
  <c r="U74" i="22"/>
  <c r="U47" i="22"/>
  <c r="W52" i="22"/>
  <c r="W74" i="22"/>
  <c r="W75" i="22"/>
  <c r="W56" i="22"/>
  <c r="W13" i="22"/>
  <c r="W16" i="22"/>
  <c r="S47" i="22"/>
  <c r="T47" i="22" s="1"/>
  <c r="W40" i="22"/>
  <c r="W34" i="22"/>
  <c r="W29" i="22"/>
  <c r="W38" i="22"/>
  <c r="AK273" i="23"/>
  <c r="W11" i="22"/>
  <c r="W12" i="22"/>
  <c r="S15" i="22"/>
  <c r="T15" i="22" s="1"/>
  <c r="W15" i="22"/>
  <c r="U63" i="22"/>
  <c r="W63" i="22"/>
  <c r="S63" i="22"/>
  <c r="T63" i="22" s="1"/>
  <c r="U33" i="22"/>
  <c r="J10" i="22"/>
  <c r="K10" i="22"/>
  <c r="G57" i="22"/>
  <c r="M78" i="22"/>
  <c r="AK292" i="23"/>
  <c r="E56" i="22"/>
  <c r="AK458" i="23"/>
  <c r="E87" i="22"/>
  <c r="H57" i="22"/>
  <c r="I78" i="22"/>
  <c r="W78" i="22" s="1"/>
  <c r="AK407" i="23"/>
  <c r="H76" i="22"/>
  <c r="E57" i="22"/>
  <c r="G86" i="22"/>
  <c r="I88" i="22"/>
  <c r="I81" i="22"/>
  <c r="W82" i="22"/>
  <c r="AK329" i="23"/>
  <c r="K39" i="22"/>
  <c r="L39" i="22"/>
  <c r="AK91" i="23"/>
  <c r="G20" i="22"/>
  <c r="J39" i="22"/>
  <c r="S33" i="22"/>
  <c r="T33" i="22" s="1"/>
  <c r="AK468" i="23"/>
  <c r="AK386" i="23"/>
  <c r="AK356" i="23"/>
  <c r="AK350" i="23"/>
  <c r="AK262" i="23"/>
  <c r="AK315" i="23"/>
  <c r="AK299" i="23"/>
  <c r="AK223" i="23"/>
  <c r="AK177" i="23"/>
  <c r="AK16" i="23"/>
  <c r="AK277" i="23"/>
  <c r="AK347" i="23"/>
  <c r="AK319" i="23"/>
  <c r="AK189" i="23"/>
  <c r="AK381" i="23"/>
  <c r="AK32" i="23"/>
  <c r="AK100" i="23"/>
  <c r="AK245" i="23"/>
  <c r="AK162" i="23"/>
  <c r="AK411" i="23"/>
  <c r="AK71" i="23"/>
  <c r="AK258" i="23"/>
  <c r="AK323" i="23"/>
  <c r="AK374" i="23"/>
  <c r="AK212" i="23"/>
  <c r="AK267" i="23"/>
  <c r="AK415" i="23"/>
  <c r="S29" i="22"/>
  <c r="T29" i="22" s="1"/>
  <c r="U11" i="22"/>
  <c r="U13" i="22"/>
  <c r="U38" i="22"/>
  <c r="S38" i="22"/>
  <c r="T38" i="22" s="1"/>
  <c r="S56" i="22"/>
  <c r="T56" i="22" s="1"/>
  <c r="U56" i="22"/>
  <c r="S52" i="22"/>
  <c r="T52" i="22" s="1"/>
  <c r="U52" i="22"/>
  <c r="U15" i="22"/>
  <c r="U34" i="22"/>
  <c r="U16" i="22"/>
  <c r="S31" i="22"/>
  <c r="T31" i="22" s="1"/>
  <c r="U31" i="22"/>
  <c r="S46" i="22" l="1"/>
  <c r="T46" i="22" s="1"/>
  <c r="U46" i="22"/>
  <c r="W46" i="22"/>
  <c r="W76" i="22"/>
  <c r="S12" i="22"/>
  <c r="T12" i="22" s="1"/>
  <c r="S11" i="22"/>
  <c r="T11" i="22" s="1"/>
  <c r="S16" i="22"/>
  <c r="T16" i="22" s="1"/>
  <c r="S19" i="22"/>
  <c r="T19" i="22" s="1"/>
  <c r="S24" i="22"/>
  <c r="T24" i="22" s="1"/>
  <c r="S90" i="22"/>
  <c r="T90" i="22" s="1"/>
  <c r="S83" i="22"/>
  <c r="T83" i="22" s="1"/>
  <c r="S45" i="22"/>
  <c r="T45" i="22" s="1"/>
  <c r="S36" i="22"/>
  <c r="T36" i="22" s="1"/>
  <c r="S26" i="22"/>
  <c r="T26" i="22" s="1"/>
  <c r="S76" i="22"/>
  <c r="T76" i="22" s="1"/>
  <c r="S75" i="22"/>
  <c r="T75" i="22" s="1"/>
  <c r="S34" i="22"/>
  <c r="T34" i="22" s="1"/>
  <c r="S79" i="22"/>
  <c r="T79" i="22" s="1"/>
  <c r="S14" i="22"/>
  <c r="T14" i="22" s="1"/>
  <c r="S23" i="22"/>
  <c r="T23" i="22" s="1"/>
  <c r="S30" i="22"/>
  <c r="T30" i="22" s="1"/>
  <c r="S74" i="22"/>
  <c r="T74" i="22" s="1"/>
  <c r="W72" i="22"/>
  <c r="S72" i="22"/>
  <c r="T72" i="22" s="1"/>
  <c r="U44" i="22"/>
  <c r="S48" i="22"/>
  <c r="T48" i="22" s="1"/>
  <c r="U48" i="22"/>
  <c r="S44" i="22"/>
  <c r="T44" i="22" s="1"/>
  <c r="G43" i="22"/>
  <c r="H43" i="22"/>
  <c r="F43" i="22"/>
  <c r="S59" i="22"/>
  <c r="T59" i="22" s="1"/>
  <c r="U59" i="22"/>
  <c r="U72" i="22"/>
  <c r="U65" i="22"/>
  <c r="U64" i="22"/>
  <c r="S64" i="22"/>
  <c r="T64" i="22" s="1"/>
  <c r="S62" i="22"/>
  <c r="T62" i="22" s="1"/>
  <c r="U62" i="22"/>
  <c r="S61" i="22"/>
  <c r="T61" i="22" s="1"/>
  <c r="U61" i="22"/>
  <c r="U57" i="22"/>
  <c r="S57" i="22"/>
  <c r="T57" i="22" s="1"/>
  <c r="W57" i="22"/>
  <c r="S55" i="22"/>
  <c r="T55" i="22" s="1"/>
  <c r="U55" i="22"/>
  <c r="S89" i="22"/>
  <c r="T89" i="22" s="1"/>
  <c r="U28" i="22"/>
  <c r="S28" i="22"/>
  <c r="T28" i="22" s="1"/>
  <c r="S20" i="22"/>
  <c r="T20" i="22" s="1"/>
  <c r="S39" i="22"/>
  <c r="T39" i="22" s="1"/>
  <c r="S87" i="22"/>
  <c r="T87" i="22" s="1"/>
  <c r="U51" i="22"/>
  <c r="W85" i="22"/>
  <c r="S85" i="22"/>
  <c r="T85" i="22" s="1"/>
  <c r="S35" i="22"/>
  <c r="T35" i="22" s="1"/>
  <c r="U35" i="22"/>
  <c r="S80" i="22"/>
  <c r="T80" i="22" s="1"/>
  <c r="U80" i="22"/>
  <c r="S49" i="22"/>
  <c r="T49" i="22" s="1"/>
  <c r="U49" i="22"/>
  <c r="S51" i="22"/>
  <c r="T51" i="22" s="1"/>
  <c r="U50" i="22"/>
  <c r="S50" i="22"/>
  <c r="T50" i="22" s="1"/>
  <c r="U39" i="22"/>
  <c r="U21" i="22"/>
  <c r="U20" i="22"/>
  <c r="S21" i="22"/>
  <c r="T21" i="22" s="1"/>
  <c r="U19" i="22"/>
  <c r="F10" i="22"/>
  <c r="U14" i="22"/>
  <c r="W14" i="22"/>
  <c r="G10" i="22"/>
  <c r="H10" i="22"/>
  <c r="W60" i="22"/>
  <c r="S60" i="22"/>
  <c r="T60" i="22" s="1"/>
  <c r="U60" i="22"/>
  <c r="U78" i="22"/>
  <c r="S88" i="22"/>
  <c r="T88" i="22" s="1"/>
  <c r="W88" i="22"/>
  <c r="S78" i="22"/>
  <c r="T78" i="22" s="1"/>
  <c r="S82" i="22"/>
  <c r="T82" i="22" s="1"/>
  <c r="U82" i="22"/>
  <c r="E86" i="22"/>
  <c r="H86" i="22"/>
  <c r="F86" i="22"/>
  <c r="AK449" i="23"/>
  <c r="H9" i="22" l="1"/>
  <c r="F9" i="22"/>
  <c r="G9" i="22"/>
  <c r="K43" i="22"/>
  <c r="K9" i="22" s="1"/>
  <c r="L43" i="22"/>
  <c r="L9" i="22" s="1"/>
  <c r="AK214" i="23"/>
  <c r="E43" i="22"/>
  <c r="J43" i="22"/>
  <c r="J9" i="22" s="1"/>
  <c r="E10" i="22"/>
  <c r="E9" i="22" l="1"/>
  <c r="V71" i="22"/>
  <c r="R69" i="22"/>
  <c r="S69" i="22" s="1"/>
  <c r="V70" i="22"/>
  <c r="V68" i="22" l="1"/>
  <c r="R71" i="22"/>
  <c r="W71" i="22" s="1"/>
  <c r="R70" i="22"/>
  <c r="U70" i="22" s="1"/>
  <c r="T69" i="22"/>
  <c r="U69" i="22"/>
  <c r="W69" i="22"/>
  <c r="V69" i="22"/>
  <c r="R68" i="22"/>
  <c r="R67" i="22" l="1"/>
  <c r="U67" i="22" s="1"/>
  <c r="U71" i="22"/>
  <c r="V67" i="22"/>
  <c r="S70" i="22"/>
  <c r="T70" i="22" s="1"/>
  <c r="W70" i="22"/>
  <c r="S68" i="22"/>
  <c r="T68" i="22" s="1"/>
  <c r="W68" i="22"/>
  <c r="U68" i="22"/>
  <c r="S67" i="22" l="1"/>
  <c r="T67" i="22" s="1"/>
  <c r="W67" i="22"/>
  <c r="V25" i="22" l="1"/>
  <c r="R25" i="22"/>
  <c r="R54" i="22"/>
  <c r="S54" i="22" l="1"/>
  <c r="T54" i="22" s="1"/>
  <c r="U54" i="22"/>
  <c r="W54" i="22"/>
  <c r="V54" i="22"/>
  <c r="S25" i="22"/>
  <c r="T25" i="22" s="1"/>
  <c r="W25" i="22"/>
  <c r="U25" i="22"/>
  <c r="V18" i="22" l="1"/>
  <c r="R18" i="22"/>
  <c r="S18" i="22" s="1"/>
  <c r="T18" i="22" s="1"/>
  <c r="U18" i="22" l="1"/>
  <c r="W18" i="22"/>
  <c r="R10" i="22" l="1"/>
  <c r="U10" i="22" l="1"/>
  <c r="S10" i="22"/>
  <c r="T10" i="22" s="1"/>
  <c r="V10" i="22"/>
  <c r="W10" i="22"/>
  <c r="R91" i="22" l="1"/>
  <c r="V91" i="22" l="1"/>
  <c r="S91" i="22"/>
  <c r="T91" i="22" s="1"/>
  <c r="W91" i="22"/>
  <c r="V81" i="22" l="1"/>
  <c r="W81" i="22" l="1"/>
  <c r="U81" i="22"/>
  <c r="S81" i="22"/>
  <c r="T81" i="22" s="1"/>
  <c r="V86" i="22" l="1"/>
  <c r="R86" i="22"/>
  <c r="U86" i="22" l="1"/>
  <c r="W86" i="22"/>
  <c r="S86" i="22"/>
  <c r="T86" i="22" s="1"/>
  <c r="R9" i="22" l="1"/>
  <c r="S9" i="22" s="1"/>
  <c r="T9" i="22" s="1"/>
  <c r="V9" i="22"/>
  <c r="V43" i="22"/>
  <c r="R43" i="22"/>
  <c r="S43" i="22" s="1"/>
  <c r="T43" i="22" l="1"/>
  <c r="W43" i="22"/>
  <c r="U43" i="22"/>
  <c r="D10" i="22"/>
  <c r="D9" i="22" s="1"/>
  <c r="AK6" i="23"/>
  <c r="C10" i="22"/>
  <c r="C9" i="22" s="1"/>
  <c r="AK1" i="23" l="1"/>
</calcChain>
</file>

<file path=xl/sharedStrings.xml><?xml version="1.0" encoding="utf-8"?>
<sst xmlns="http://schemas.openxmlformats.org/spreadsheetml/2006/main" count="5231" uniqueCount="2177">
  <si>
    <t xml:space="preserve"> № п/п</t>
  </si>
  <si>
    <t>Государственная программа, подпрограмма, основное мероприятие, мероприятие</t>
  </si>
  <si>
    <t>Соисполнители, участники, исполнители</t>
  </si>
  <si>
    <t>Всего</t>
  </si>
  <si>
    <t>ОБ</t>
  </si>
  <si>
    <t>ФБ</t>
  </si>
  <si>
    <t>МБ</t>
  </si>
  <si>
    <t>ВБС</t>
  </si>
  <si>
    <t>1.</t>
  </si>
  <si>
    <t>2.</t>
  </si>
  <si>
    <t>Подпрограмма 2. Поддержка малого и среднего предпринимательства</t>
  </si>
  <si>
    <t>2.1.</t>
  </si>
  <si>
    <t>2.2.</t>
  </si>
  <si>
    <t>3.1.</t>
  </si>
  <si>
    <t>3.3.</t>
  </si>
  <si>
    <t>4.</t>
  </si>
  <si>
    <t>4.1.</t>
  </si>
  <si>
    <t>4.3.</t>
  </si>
  <si>
    <t>4.4.</t>
  </si>
  <si>
    <t>5.</t>
  </si>
  <si>
    <t>5.1.</t>
  </si>
  <si>
    <t>5.2.</t>
  </si>
  <si>
    <t>5.3.</t>
  </si>
  <si>
    <t>5.4.</t>
  </si>
  <si>
    <t>6.1.</t>
  </si>
  <si>
    <t>6.2.</t>
  </si>
  <si>
    <t>6.3.</t>
  </si>
  <si>
    <t>7.</t>
  </si>
  <si>
    <t>7.1.</t>
  </si>
  <si>
    <t>7.2.</t>
  </si>
  <si>
    <t>2.3.</t>
  </si>
  <si>
    <t>2.4.</t>
  </si>
  <si>
    <t>Источник</t>
  </si>
  <si>
    <t>Причины низкой степени освоения средств, невыполнения мероприятий</t>
  </si>
  <si>
    <t>№ п/п</t>
  </si>
  <si>
    <t>Фактическое исполнение</t>
  </si>
  <si>
    <t>Степень освоения средств</t>
  </si>
  <si>
    <t>Приложение № 2</t>
  </si>
  <si>
    <t>4.2.</t>
  </si>
  <si>
    <t>Да</t>
  </si>
  <si>
    <t>Нет</t>
  </si>
  <si>
    <t>-</t>
  </si>
  <si>
    <t>1.7.</t>
  </si>
  <si>
    <t>3.</t>
  </si>
  <si>
    <t>3.2.</t>
  </si>
  <si>
    <t>6.</t>
  </si>
  <si>
    <t>1.1</t>
  </si>
  <si>
    <t>1.2</t>
  </si>
  <si>
    <t>1.3</t>
  </si>
  <si>
    <t>1.4</t>
  </si>
  <si>
    <t>1.5</t>
  </si>
  <si>
    <t>1.6</t>
  </si>
  <si>
    <t>Частично</t>
  </si>
  <si>
    <t>Минздрав МО</t>
  </si>
  <si>
    <t>Подпрограмма 1. "Профилактика заболеваний и формирование здорового образа жизни. Развитие первичной медико-санитарной помощи"</t>
  </si>
  <si>
    <t>1.1.1</t>
  </si>
  <si>
    <t>1.1.3</t>
  </si>
  <si>
    <t>1.1.4</t>
  </si>
  <si>
    <t>1.1.5</t>
  </si>
  <si>
    <t>1.1.6</t>
  </si>
  <si>
    <t>1.1.7</t>
  </si>
  <si>
    <t>1.1.8</t>
  </si>
  <si>
    <t>Количество обслуженных рецептов к количеству выписанных рецептов</t>
  </si>
  <si>
    <t>Минобр МО</t>
  </si>
  <si>
    <t>1.2.1</t>
  </si>
  <si>
    <t>1.2.2</t>
  </si>
  <si>
    <t>1.2.3</t>
  </si>
  <si>
    <t>1.2.4</t>
  </si>
  <si>
    <t>Количество донаций крови и ее компонентов на 1 донора Мурманской области</t>
  </si>
  <si>
    <t>Удовлетворенность потребности в судебно-медицинских и судебно-психиатрических исследованиях</t>
  </si>
  <si>
    <t>Подпрограмма 3. "Охрана здоровья матери и ребенка"</t>
  </si>
  <si>
    <t>1.3.1</t>
  </si>
  <si>
    <t>1.3.2</t>
  </si>
  <si>
    <t>1.3.3</t>
  </si>
  <si>
    <t>1.3.4</t>
  </si>
  <si>
    <t>Подпрограмма 4. "Развитие инфраструктуры системы здравоохранения"</t>
  </si>
  <si>
    <t>1.4.1</t>
  </si>
  <si>
    <t>1.4.2</t>
  </si>
  <si>
    <t>1.4.3</t>
  </si>
  <si>
    <t>Минстрой МО</t>
  </si>
  <si>
    <t>1.4.4</t>
  </si>
  <si>
    <t>1.4.5</t>
  </si>
  <si>
    <t>Подпрограмма 5. "Кадровое обеспечение системы здравоохранения"</t>
  </si>
  <si>
    <t>1.5.1</t>
  </si>
  <si>
    <t>1.5.2</t>
  </si>
  <si>
    <t>Подпрограмма 6. "Развитие информатизации в здравоохранении"</t>
  </si>
  <si>
    <t>1.6.1</t>
  </si>
  <si>
    <t>2.1</t>
  </si>
  <si>
    <t>2.1.1</t>
  </si>
  <si>
    <t>2.1.2</t>
  </si>
  <si>
    <t>2.1.3</t>
  </si>
  <si>
    <t>2.1.4</t>
  </si>
  <si>
    <t>2.1.6</t>
  </si>
  <si>
    <t>2.1.8</t>
  </si>
  <si>
    <t>2.1.9</t>
  </si>
  <si>
    <t>2.2</t>
  </si>
  <si>
    <t>2.2.1</t>
  </si>
  <si>
    <t>2.2.5</t>
  </si>
  <si>
    <t>2.2.6</t>
  </si>
  <si>
    <t>2.3</t>
  </si>
  <si>
    <t>2.3.1</t>
  </si>
  <si>
    <t>2.3.2</t>
  </si>
  <si>
    <t>3.1</t>
  </si>
  <si>
    <t>3.1.1</t>
  </si>
  <si>
    <t>3.1.2</t>
  </si>
  <si>
    <t>3.1.3</t>
  </si>
  <si>
    <t>3.1.4</t>
  </si>
  <si>
    <t>3.2</t>
  </si>
  <si>
    <t>3.2.1</t>
  </si>
  <si>
    <t>3.2.2</t>
  </si>
  <si>
    <t>3.2.3</t>
  </si>
  <si>
    <t>3.2.4</t>
  </si>
  <si>
    <t>3.2.5</t>
  </si>
  <si>
    <t>3.2.6</t>
  </si>
  <si>
    <t>3.2.7</t>
  </si>
  <si>
    <t>3.2.8</t>
  </si>
  <si>
    <t>3.3</t>
  </si>
  <si>
    <t>3.3.1</t>
  </si>
  <si>
    <t>3.3.3</t>
  </si>
  <si>
    <t>4.1</t>
  </si>
  <si>
    <t>4.1.1</t>
  </si>
  <si>
    <t>4.1.2</t>
  </si>
  <si>
    <t>4.1.3</t>
  </si>
  <si>
    <t>4.2</t>
  </si>
  <si>
    <t>4.2.1</t>
  </si>
  <si>
    <t>4.2.2</t>
  </si>
  <si>
    <t>4.3</t>
  </si>
  <si>
    <t>4.3.1</t>
  </si>
  <si>
    <t>4.3.2</t>
  </si>
  <si>
    <t>4.3.3</t>
  </si>
  <si>
    <t>5.1</t>
  </si>
  <si>
    <t>5.1.1</t>
  </si>
  <si>
    <t>5.1.2</t>
  </si>
  <si>
    <t>5.2</t>
  </si>
  <si>
    <t>5.2.1</t>
  </si>
  <si>
    <t>6.1</t>
  </si>
  <si>
    <t>6.2</t>
  </si>
  <si>
    <t>6.4</t>
  </si>
  <si>
    <t>6.4.1</t>
  </si>
  <si>
    <t>7.1</t>
  </si>
  <si>
    <t>7.2</t>
  </si>
  <si>
    <t>Минфин МО</t>
  </si>
  <si>
    <t>7.4</t>
  </si>
  <si>
    <t>7.5</t>
  </si>
  <si>
    <t>8</t>
  </si>
  <si>
    <t>8.1</t>
  </si>
  <si>
    <t>9</t>
  </si>
  <si>
    <t>Минприроды МО</t>
  </si>
  <si>
    <t>10.1</t>
  </si>
  <si>
    <t>10.2</t>
  </si>
  <si>
    <t>10.3</t>
  </si>
  <si>
    <t>10.5</t>
  </si>
  <si>
    <t>Подпрограмма 5. "Обращение с отходами"</t>
  </si>
  <si>
    <t>Подпрограмма 6. "Охрана и рациональное использование животного мира и развитие охотничьего хозяйства"</t>
  </si>
  <si>
    <t>11</t>
  </si>
  <si>
    <t>Комитет по ветеринарии МО</t>
  </si>
  <si>
    <t>11.1</t>
  </si>
  <si>
    <t>11.2</t>
  </si>
  <si>
    <t>11.3</t>
  </si>
  <si>
    <t>11.4</t>
  </si>
  <si>
    <t>12</t>
  </si>
  <si>
    <t>12.1</t>
  </si>
  <si>
    <t>12.2</t>
  </si>
  <si>
    <t>12.3</t>
  </si>
  <si>
    <t>13</t>
  </si>
  <si>
    <t>13.1</t>
  </si>
  <si>
    <t>13.2</t>
  </si>
  <si>
    <t>14</t>
  </si>
  <si>
    <t>14.1</t>
  </si>
  <si>
    <t>14.2</t>
  </si>
  <si>
    <t>15</t>
  </si>
  <si>
    <t>Комитет госфинконтроля МО</t>
  </si>
  <si>
    <t>15.1</t>
  </si>
  <si>
    <t>15.2</t>
  </si>
  <si>
    <t>15.3</t>
  </si>
  <si>
    <t>15.4</t>
  </si>
  <si>
    <t>Минюст МО</t>
  </si>
  <si>
    <t>х</t>
  </si>
  <si>
    <t>Государственная программа Мурманской области  "Государственное управление и гражданское общество"</t>
  </si>
  <si>
    <t xml:space="preserve">ОБ </t>
  </si>
  <si>
    <t>Аппарат Правительства Мурманской области</t>
  </si>
  <si>
    <t>3.5.</t>
  </si>
  <si>
    <t>Минкульт МО</t>
  </si>
  <si>
    <t>Минспорт МО</t>
  </si>
  <si>
    <t>2.4</t>
  </si>
  <si>
    <t>Выполнение  мероприятий</t>
  </si>
  <si>
    <t>Степень выполнения (К3)</t>
  </si>
  <si>
    <t>Всего по государственным программам</t>
  </si>
  <si>
    <t>Подпрограмма 1. Развитие профессионального образования</t>
  </si>
  <si>
    <t>Подпрограмма 4. Обеспечение реализации государственной программы</t>
  </si>
  <si>
    <t>Подпрограмма 2. Улучшение положения и качества жизни социально уязвимых слоев населения</t>
  </si>
  <si>
    <t>Подпрограмма 1. Наследие</t>
  </si>
  <si>
    <t>7.3.</t>
  </si>
  <si>
    <t>7.4.</t>
  </si>
  <si>
    <t>7.5.</t>
  </si>
  <si>
    <t>8.</t>
  </si>
  <si>
    <t>8.1.</t>
  </si>
  <si>
    <t>9.</t>
  </si>
  <si>
    <t>9.1.</t>
  </si>
  <si>
    <t>9.2.</t>
  </si>
  <si>
    <t>9.3.</t>
  </si>
  <si>
    <t>9.4.</t>
  </si>
  <si>
    <t>10.1.</t>
  </si>
  <si>
    <t>Подпрограмма 1. Обеспечение экологической безопасности</t>
  </si>
  <si>
    <t>10.2.</t>
  </si>
  <si>
    <t>Подпрограмма 2. Охрана, защита и воспроизводство  лесов</t>
  </si>
  <si>
    <t>10.3.</t>
  </si>
  <si>
    <t>Подпрограмма 3. Охрана и рациональное использование природных ресурсов</t>
  </si>
  <si>
    <t>10.4.</t>
  </si>
  <si>
    <t>Подпрограмма 4.  Обеспечение реализации государственной программы</t>
  </si>
  <si>
    <t>10.5.</t>
  </si>
  <si>
    <t>Подпрограмма 5. Обращение с отходами</t>
  </si>
  <si>
    <t>Подпрограмма 6. Охрана и рациональное использование животного мира и развитие охотничьего хозяйства</t>
  </si>
  <si>
    <t>11.1.</t>
  </si>
  <si>
    <t>11.2.</t>
  </si>
  <si>
    <t>11.3.</t>
  </si>
  <si>
    <t>11.4.</t>
  </si>
  <si>
    <t>12.</t>
  </si>
  <si>
    <t>12.1.</t>
  </si>
  <si>
    <t>12.2.</t>
  </si>
  <si>
    <t>12.3.</t>
  </si>
  <si>
    <t>Подпрограмма 3. Безопасность дорожного движения и снижение дорожно-транспортного травматизма в Мурманской области</t>
  </si>
  <si>
    <t>12.4.</t>
  </si>
  <si>
    <t>13.</t>
  </si>
  <si>
    <t>13.1.</t>
  </si>
  <si>
    <t>13.2.</t>
  </si>
  <si>
    <t>14.</t>
  </si>
  <si>
    <t>14.1.</t>
  </si>
  <si>
    <t>14.2.</t>
  </si>
  <si>
    <t>15.</t>
  </si>
  <si>
    <t>15.1.</t>
  </si>
  <si>
    <t>15.2.</t>
  </si>
  <si>
    <t>15.3.</t>
  </si>
  <si>
    <t>15.4.</t>
  </si>
  <si>
    <t>2.3.3</t>
  </si>
  <si>
    <t>3.2.10</t>
  </si>
  <si>
    <t>3.5</t>
  </si>
  <si>
    <t>Минстрой МО, ГОКУ "УКС"</t>
  </si>
  <si>
    <t>Министерство цифрового развития Мурманской области</t>
  </si>
  <si>
    <t>Министерство труда и соцразвития МО</t>
  </si>
  <si>
    <t>Государственная программа, подпрограмма, ответственный исполнитель</t>
  </si>
  <si>
    <t>Показатели ГП</t>
  </si>
  <si>
    <t>Выполнение мероприятий</t>
  </si>
  <si>
    <t>ЭГП (интегр. показатель эф-ти)</t>
  </si>
  <si>
    <t>Оценка*</t>
  </si>
  <si>
    <t>Факт отсут.</t>
  </si>
  <si>
    <t>Степень достижения плановых значений показателей</t>
  </si>
  <si>
    <t>Перевып. (&gt;150%)</t>
  </si>
  <si>
    <t>Высокая (99,5-150%)</t>
  </si>
  <si>
    <t>Средняя (85-99,5%)</t>
  </si>
  <si>
    <t>Низкая (&lt;85%)</t>
  </si>
  <si>
    <t>К1</t>
  </si>
  <si>
    <t>Положит. (≥101%)</t>
  </si>
  <si>
    <t>На уровне (99-101%)</t>
  </si>
  <si>
    <t>Отриц. (&lt;99%)</t>
  </si>
  <si>
    <t>К2</t>
  </si>
  <si>
    <t xml:space="preserve">Да </t>
  </si>
  <si>
    <t xml:space="preserve">К3 </t>
  </si>
  <si>
    <t>1.7</t>
  </si>
  <si>
    <t>3</t>
  </si>
  <si>
    <t>4</t>
  </si>
  <si>
    <t>4.4</t>
  </si>
  <si>
    <t>5</t>
  </si>
  <si>
    <t>5.3</t>
  </si>
  <si>
    <t>6</t>
  </si>
  <si>
    <t>6.3</t>
  </si>
  <si>
    <t>7</t>
  </si>
  <si>
    <t>7.3</t>
  </si>
  <si>
    <t>10</t>
  </si>
  <si>
    <t>10.4</t>
  </si>
  <si>
    <t>12.4</t>
  </si>
  <si>
    <t>*Высокая (не менее 97%), средняя (не менее 92%), ниже среднего (не менее 85%), низкая (менее 85%).</t>
  </si>
  <si>
    <t>Приложение №1</t>
  </si>
  <si>
    <t>№
п/п</t>
  </si>
  <si>
    <t>Государственная программа, подпрограмма, показатель</t>
  </si>
  <si>
    <t>Ед. изм.</t>
  </si>
  <si>
    <t>Направ
ленность</t>
  </si>
  <si>
    <t>К1 (степень достижения)*</t>
  </si>
  <si>
    <t>К2 (динамика)**</t>
  </si>
  <si>
    <t>Причины отклонения от плана, отсутствия положительной динамики</t>
  </si>
  <si>
    <t>Предлагаемые меры по улучшению значений показателя</t>
  </si>
  <si>
    <t>Ответственный ИОГВ</t>
  </si>
  <si>
    <t>Направ-
ленность</t>
  </si>
  <si>
    <t xml:space="preserve">К1 </t>
  </si>
  <si>
    <t xml:space="preserve">К2 </t>
  </si>
  <si>
    <t>всего</t>
  </si>
  <si>
    <t>Данные о фактических значениях отсутствуют</t>
  </si>
  <si>
    <t>Значительно перевыполнены (более 150%)</t>
  </si>
  <si>
    <t>Высокая степень (от 99,5 до 150%)</t>
  </si>
  <si>
    <t>Средняя степень (от 85 до 99,5%)</t>
  </si>
  <si>
    <t>Низкая степень (ниже 85%)</t>
  </si>
  <si>
    <t>Положительная динамика (К2≥101%)</t>
  </si>
  <si>
    <t>Отрицательная динамика (К2 &lt; 99%)</t>
  </si>
  <si>
    <t>Факт</t>
  </si>
  <si>
    <t>План</t>
  </si>
  <si>
    <t>Причины отклонения от плана</t>
  </si>
  <si>
    <t>Ответственный ГРБС</t>
  </si>
  <si>
    <t>1.0.1</t>
  </si>
  <si>
    <t>è</t>
  </si>
  <si>
    <t>1.0.2</t>
  </si>
  <si>
    <t>1.0.3</t>
  </si>
  <si>
    <t>Младенческая смертность</t>
  </si>
  <si>
    <t>1.0.4</t>
  </si>
  <si>
    <t>на 100 тыс. населения</t>
  </si>
  <si>
    <t>1.0.5</t>
  </si>
  <si>
    <t>1.0.6</t>
  </si>
  <si>
    <t>Смертность от туберкулеза</t>
  </si>
  <si>
    <t>1.0.7</t>
  </si>
  <si>
    <t>1.0.8</t>
  </si>
  <si>
    <t>Смертность населения в трудоспособном возрасте</t>
  </si>
  <si>
    <t>1.0.9</t>
  </si>
  <si>
    <t>Ожидаемая продолжительность жизни при рождении</t>
  </si>
  <si>
    <t>æ</t>
  </si>
  <si>
    <t>на 10 тыс. населения</t>
  </si>
  <si>
    <t>%</t>
  </si>
  <si>
    <t>Розничные продажи алкогольной продукции на душу населения (в литрах)</t>
  </si>
  <si>
    <t>литров на душу населения в год</t>
  </si>
  <si>
    <t>Охват населения профосмотрами на туберкулез</t>
  </si>
  <si>
    <t>Охват населения иммунизацией против кори в декретированные сроки</t>
  </si>
  <si>
    <t>1.1.9</t>
  </si>
  <si>
    <t>чел.</t>
  </si>
  <si>
    <t>Одногодичная летальность больных со злокачественными новообразованиями</t>
  </si>
  <si>
    <t>Удельный вес больных злокачественными новообразованиями, состоящих на учете с момента установления диагноза 5 лет и более</t>
  </si>
  <si>
    <t>1.2.5</t>
  </si>
  <si>
    <t>1.2.6</t>
  </si>
  <si>
    <t>1.2.7</t>
  </si>
  <si>
    <t>1.2.8</t>
  </si>
  <si>
    <t>Доля ВИЧ-инфицированных лиц, получающих антиретровирусную терапию, от числа состоящих на диспансерном учете</t>
  </si>
  <si>
    <t>1.2.9</t>
  </si>
  <si>
    <t>1.2.10</t>
  </si>
  <si>
    <t>Доля выездов бригад скорой медицинской помощи со временем доезда до больного менее 20 минут</t>
  </si>
  <si>
    <t>=</t>
  </si>
  <si>
    <t>Больничная летальность от острого нарушения мозгового кровообращения</t>
  </si>
  <si>
    <t>Количество рентгенэндоваскулярных вмешательств в лечебных целях</t>
  </si>
  <si>
    <t>ед.</t>
  </si>
  <si>
    <t>Доля посещений детьми медицинских организаций с профилактическими целями</t>
  </si>
  <si>
    <t>Смертность детей в возрасте 0 - 17 лет</t>
  </si>
  <si>
    <t>на 100000 детей соответствующего возраста</t>
  </si>
  <si>
    <t>Количество объектов, отремонтированных в рамках программы</t>
  </si>
  <si>
    <t>1.5.3</t>
  </si>
  <si>
    <t>1.5.4</t>
  </si>
  <si>
    <t>1.5.5</t>
  </si>
  <si>
    <t>1.5.6</t>
  </si>
  <si>
    <t>1.6.2</t>
  </si>
  <si>
    <t>1.6.3</t>
  </si>
  <si>
    <t>1.6.4</t>
  </si>
  <si>
    <t>Количество пролеченных иностранных граждан</t>
  </si>
  <si>
    <t>тыс. чел.</t>
  </si>
  <si>
    <t>2.0.1</t>
  </si>
  <si>
    <t>2.0.2</t>
  </si>
  <si>
    <t>2.0.4</t>
  </si>
  <si>
    <t>Подпрограмма 1. "Развитие профессионального образования"</t>
  </si>
  <si>
    <t>2.2.4</t>
  </si>
  <si>
    <t>единиц</t>
  </si>
  <si>
    <t>Доля государственных (муниципальных) образовательных учреждений, реализующих программы общего образования, здания которых находятся в аварийном состоянии или требуют капитального ремонта, в общей численности государственных (муниципальных) образовательных учреждений, реализующих программы общего образования</t>
  </si>
  <si>
    <t>2.3.4</t>
  </si>
  <si>
    <t>Доля государственных (муниципальных) общеобразовательных учреждений, соответствующих современным требованиям обучения, в общем количестве государственных (муниципальных) общеобразовательных учреждений</t>
  </si>
  <si>
    <t>3.0.1</t>
  </si>
  <si>
    <t>Доля населения, имеющего денежные доходы ниже величины прожиточного минимума, в общей численности населения Мурманской области</t>
  </si>
  <si>
    <t>3.0.2</t>
  </si>
  <si>
    <t>Доля детей из семей с денежными доходами ниже величины прожиточного минимума в Мурманской области от общей численности детей в регионе</t>
  </si>
  <si>
    <t>3.0.3</t>
  </si>
  <si>
    <t>Доля граждан, получивших социальные услуги в учреждениях социального обслуживания населения, в общем числе граждан, обратившихся за получением социальных услуг в учреждения социального обслуживания населения</t>
  </si>
  <si>
    <t>3.0.4</t>
  </si>
  <si>
    <t>Доля детей-сирот и детей, оставшихся без попечения родителей, переданных на воспитание в семьи, в общей численности детей-сирот и детей, оставшихся без попечения родителей</t>
  </si>
  <si>
    <t>3.0.6</t>
  </si>
  <si>
    <t xml:space="preserve"> =</t>
  </si>
  <si>
    <t>Суммарный коэффициент рождаемости</t>
  </si>
  <si>
    <t>число родившихся на 1 женщину</t>
  </si>
  <si>
    <t>Удельный вес зданий стационарных учреждений социального обслуживания граждан пожилого возраста, инвалидов (взрослых и детей), лиц без определенного места жительства и занятий, требующих реконструкции, зданий, находящихся в аварийном состоянии, ветхих зданий в общем количестве зданий стационарных учреждений социального обслуживания граждан пожилого возраста, инвалидов (взрослых и детей), лиц без определенного места жительства и занятий</t>
  </si>
  <si>
    <t>Удельный вес негосударственных поставщиков социальных услуг, осуществляющих социальное обслуживание, в общем количестве поставщиков социальных услуг, осуществляющих социальное обслуживание, всех форм собственности, включенных в реестр поставщиков</t>
  </si>
  <si>
    <t>Подпрограмма 2. "Улучшение положения и качества жизни социально уязвимых слоев населения"</t>
  </si>
  <si>
    <t>Число лиц, охваченных отдыхом и оздоровлением в рамках госпрограммы</t>
  </si>
  <si>
    <t>Доля инвалидов, принявших участие в мероприятиях по социокультурной реабилитации, от общего числа инвалидов</t>
  </si>
  <si>
    <t>Доля сотрудников учреждений социального обслуживания населения, принявших участие в мероприятиях по повышению профессиональной компетенции, от общего количества сотрудников учреждений социального обслуживания населения</t>
  </si>
  <si>
    <t>Доля граждан, находящихся в трудной жизненной ситуации, получивших социальную помощь, от общей численности обратившихся</t>
  </si>
  <si>
    <t>Доля граждан, обеспеченных слуховыми аппаратами, от общего количества обратившихся</t>
  </si>
  <si>
    <t>Охват граждан старше трудоспособного возраста профилактическими осмотрами, включая диспансеризацию</t>
  </si>
  <si>
    <t>Доля лиц старше трудоспособного возраста, у которых выявлены заболевания и патологические состояния, находящихся под диспансерным наблюдением</t>
  </si>
  <si>
    <t>Доля детей-сирот и детей, оставшихся без попечения родителей, лиц из их числа, которым предоставлены меры социальной поддержки, от общего числа детей-сирот и детей, оставшихся без попечения родителей, лиц из их числа, имеющих на это право</t>
  </si>
  <si>
    <t>3.3.4</t>
  </si>
  <si>
    <t>4.0.1</t>
  </si>
  <si>
    <t>Доля населения, систематически занимающегося физической культурой и спортом, в общей численности населения</t>
  </si>
  <si>
    <t>4.0.2</t>
  </si>
  <si>
    <t xml:space="preserve">Количество спортивных сооружений </t>
  </si>
  <si>
    <t>ед. на 100 тыс. населения</t>
  </si>
  <si>
    <t>4.2.3</t>
  </si>
  <si>
    <t>4.2.4</t>
  </si>
  <si>
    <t>Доля организаций, оказывающих услуги по спортивной подготовке в соответствии с федеральными стандартами спортивной подготовки, в общем количестве организаций в сфере физической культуры и спорта, в том числе для лиц с ограниченными возможностями здоровья и инвалидов</t>
  </si>
  <si>
    <t>Подпрограмма 3. "Развитие спортивной инфраструктуры"</t>
  </si>
  <si>
    <t>Единовременная пропускная способность объектов спорта (к всероссийскому нормативу)</t>
  </si>
  <si>
    <t>Эффективность использования существующих объектов спорта</t>
  </si>
  <si>
    <t>Единовременная пропускная способность объектов спорта, введенных в эксплуатацию в рамках Программы</t>
  </si>
  <si>
    <t>4.3.4</t>
  </si>
  <si>
    <t>Количество спортивных сооружений, в которых осуществлен капитальный и текущий  ремонт</t>
  </si>
  <si>
    <t xml:space="preserve">ед. </t>
  </si>
  <si>
    <t>5.0.2</t>
  </si>
  <si>
    <t>Подпрограмма 1. "Наследие"</t>
  </si>
  <si>
    <t>5.1.3</t>
  </si>
  <si>
    <t>5.1.4</t>
  </si>
  <si>
    <t>5.1.5</t>
  </si>
  <si>
    <t>5.2.3</t>
  </si>
  <si>
    <t>6.0.1</t>
  </si>
  <si>
    <t>Уровень общей безработицы</t>
  </si>
  <si>
    <t>6.0.2</t>
  </si>
  <si>
    <t>Уровень зарегистрированной безработицы</t>
  </si>
  <si>
    <t>6.0.3</t>
  </si>
  <si>
    <t>6.0.4</t>
  </si>
  <si>
    <t>Численность лиц с установленным в текущем году профессиональным заболеванием в расчете на 10 тыс. работающих</t>
  </si>
  <si>
    <t>Коэффициент частоты травматизма (на 1000 работников)</t>
  </si>
  <si>
    <t>Подпрограмма 1. "Содействие занятости населения Мурманской области"</t>
  </si>
  <si>
    <t>6.1.1</t>
  </si>
  <si>
    <t>Уровень трудоустройства граждан</t>
  </si>
  <si>
    <t>6.1.2</t>
  </si>
  <si>
    <t>6.1.3</t>
  </si>
  <si>
    <t>Среднегодовая численность безработных граждан, зарегистрированных в службе занятости</t>
  </si>
  <si>
    <t>тыс.чел.</t>
  </si>
  <si>
    <t>6.1.4</t>
  </si>
  <si>
    <t>Подпрограмма 2. "Оказание содействия добровольному переселению в Мурманскую область соотечественников, проживающих за рубежом"</t>
  </si>
  <si>
    <t>6.2.1</t>
  </si>
  <si>
    <t>Численность пострадавших в результате несчастных случаев на производстве со смертельным исходом</t>
  </si>
  <si>
    <t>Количество дней временной нетрудоспособности в связи с несчастным случаем на производстве в расчете на 1 пострадавшего</t>
  </si>
  <si>
    <t>Количество рабочих мест, на которых в отчетном году проведена специальная оценка условий труда</t>
  </si>
  <si>
    <t xml:space="preserve">Удельный вес рабочих мест, на которых проведена специальная оценка условий труда, в общем количестве рабочих мест </t>
  </si>
  <si>
    <t>Численность работников, занятых во вредных и (или) опасных условиях труда</t>
  </si>
  <si>
    <t>Удельный вес работников, занятых во вредных и (или) опасных условиях труда, от общей численности работников</t>
  </si>
  <si>
    <t>Подпрограмма 6. "Сопровождение инвалидов молодого возраста при получении ими профессионального образования и содействие в последующем трудоустройстве"</t>
  </si>
  <si>
    <t>Доля работающих инвалидов молодого возраста в общей численности инвалидов молодого возраста</t>
  </si>
  <si>
    <t>7.0.1</t>
  </si>
  <si>
    <t>тыс. кв. метров</t>
  </si>
  <si>
    <t>7.0.2</t>
  </si>
  <si>
    <t>7.0.3</t>
  </si>
  <si>
    <t>человек</t>
  </si>
  <si>
    <t>7.0.7</t>
  </si>
  <si>
    <t>7.1.1</t>
  </si>
  <si>
    <t>7.1.3</t>
  </si>
  <si>
    <t>7.1.4</t>
  </si>
  <si>
    <t>7.1.5</t>
  </si>
  <si>
    <t>7.1.6</t>
  </si>
  <si>
    <t>7.1.7</t>
  </si>
  <si>
    <t xml:space="preserve">Количество молодых семей, получивших свидетельства о праве на получение социальной выплаты на приобретение (строительство) жилого помещения, в том числе имеющих трех и более детей
</t>
  </si>
  <si>
    <t>да - 1, нет - 0</t>
  </si>
  <si>
    <t>7.4.2</t>
  </si>
  <si>
    <t>7.4.3</t>
  </si>
  <si>
    <t>7.4.4</t>
  </si>
  <si>
    <t>Количество организаций, которым компенсированы недополученные доходы</t>
  </si>
  <si>
    <t>Доля отремонтированных инженерных сетей ЖКХ муниципальных образований от общего объема ветхих инженерных сетей, подлежащих ремонту, определенного по состоянию на 01.07.2012</t>
  </si>
  <si>
    <t>час.</t>
  </si>
  <si>
    <t>Энергоемкость валового регионального продукта</t>
  </si>
  <si>
    <t>Доля благоустроенных общественных территорий от общего количества общественных территорий Мурманской области</t>
  </si>
  <si>
    <t>8.0.1</t>
  </si>
  <si>
    <t>Минград МО</t>
  </si>
  <si>
    <t>8.0.2</t>
  </si>
  <si>
    <t>Доля граждан, принявших участие в решении вопросов развития городской среды, от общего количества граждан в возрасте от 14 лет, проживающих в муниципальных образованиях, на территории которых реализуются проекты по созданию комфортной городской среды</t>
  </si>
  <si>
    <t>8.1.1</t>
  </si>
  <si>
    <t>8.1.2</t>
  </si>
  <si>
    <t>8.1.3</t>
  </si>
  <si>
    <t>8.1.4</t>
  </si>
  <si>
    <t>9.0.1</t>
  </si>
  <si>
    <t>9.0.2</t>
  </si>
  <si>
    <t>9.0.3</t>
  </si>
  <si>
    <t>9.1</t>
  </si>
  <si>
    <t>Подпрограмма 1. "Профилактика правонарушений"</t>
  </si>
  <si>
    <t>9.1.1</t>
  </si>
  <si>
    <t>9.1.2</t>
  </si>
  <si>
    <t>9.1.3</t>
  </si>
  <si>
    <t>Темп роста (снижения) числа участников мероприятий профилактической направленности, проводимых государственными учреждениями культуры, к предыдущему году</t>
  </si>
  <si>
    <t>9.1.4</t>
  </si>
  <si>
    <t>Темп роста (снижения) количества правонарушений и преступлений экстремистской и террористической направленности по отношению к предыдущему году</t>
  </si>
  <si>
    <t>9.2</t>
  </si>
  <si>
    <t>Подпрограмма 2. "Обеспечение пожарной безопасности"</t>
  </si>
  <si>
    <t>9.2.1</t>
  </si>
  <si>
    <t>9.2.2</t>
  </si>
  <si>
    <t>9.3</t>
  </si>
  <si>
    <t>Подпрограмма 3. "Обеспечение защиты населения и территорий от чрезвычайных ситуаций"</t>
  </si>
  <si>
    <t>9.3.3</t>
  </si>
  <si>
    <t>Уровень охвата населения средствами оповещения</t>
  </si>
  <si>
    <t>10.0.1</t>
  </si>
  <si>
    <t>10.0.2</t>
  </si>
  <si>
    <t>10.0.3</t>
  </si>
  <si>
    <t>Лесистость территории</t>
  </si>
  <si>
    <t>Индекс численности основных 13 видов охотничьих ресурсов, обитающих на территории Мурманской области</t>
  </si>
  <si>
    <t>Подпрограмма 1. "Обеспечение экологической безопасности"</t>
  </si>
  <si>
    <t>10.1.1</t>
  </si>
  <si>
    <t>Доля площади Мурманской области, охваченной государственным мониторингом атмосферного воздуха</t>
  </si>
  <si>
    <t>10.1.2</t>
  </si>
  <si>
    <t>Доля площади Мурманской области, занятая особо охраняемыми природными территориями регионального значения</t>
  </si>
  <si>
    <t>Подпрограмма 2. "Охрана, защита и воспроизводство лесов"</t>
  </si>
  <si>
    <t>10.2.1</t>
  </si>
  <si>
    <t>Доля лесных пожаров, ликвидированных в течение 24 часов с момента обнаружения, в общем количестве лесных пожаров</t>
  </si>
  <si>
    <t>10.2.4</t>
  </si>
  <si>
    <t>Доля площади земель лесного фонда, переданных в пользование, в общей площади земель лесного фонда</t>
  </si>
  <si>
    <t>10.2.5</t>
  </si>
  <si>
    <t>Объем платежей в бюджетную систему Российской Федерации от использования лесов, расположенных на землях лесного фонда, в расчете на 1 гектар земель лесного фонда</t>
  </si>
  <si>
    <t>руб./га</t>
  </si>
  <si>
    <t>10.2.6</t>
  </si>
  <si>
    <t>Подпрограмма 3. "Охрана и рациональное использование природных ресурсов"</t>
  </si>
  <si>
    <t>км</t>
  </si>
  <si>
    <t>10.3.2</t>
  </si>
  <si>
    <t>Протяженность береговой линии водных объектов, охваченной государственным мониторингом на постоянной основе</t>
  </si>
  <si>
    <t>10.3.3</t>
  </si>
  <si>
    <t>10.3.4</t>
  </si>
  <si>
    <t>Доля видов охотничьих ресурсов, по которым ведется учет их численности в рамках государственного мониторинга охотничьих ресурсов и среды их обитания, в общем количестве видов охотничьих ресурсов, обитающих на территории Мурманской области</t>
  </si>
  <si>
    <t>Доля нарушений, выявленных при осуществлении федерального государственного охотничьего надзора, по которым вынесены постановления о привлечении к административной ответственности, к общему количеству выявленных нарушений</t>
  </si>
  <si>
    <t>11.0.1</t>
  </si>
  <si>
    <t>11.0.2</t>
  </si>
  <si>
    <t>11.0.3</t>
  </si>
  <si>
    <t>Количество случаев заболевания людей болезнями от продукции животного происхождения, подлежащей ветеринарно-санитарной экспертизе</t>
  </si>
  <si>
    <t>Комитет по ветеринарии Мурманской области</t>
  </si>
  <si>
    <t>Объем производства продукции товарной аквакультуры</t>
  </si>
  <si>
    <t>Подпрограмма 1. "Развитие агропромышленного комплекса"</t>
  </si>
  <si>
    <t>11.1.2</t>
  </si>
  <si>
    <t>Доля самоходных транспортных средств (тракторы, автомобили) со сроком эксплуатации более 10 лет в структуре парка сельхозтехники</t>
  </si>
  <si>
    <t>11.1.5</t>
  </si>
  <si>
    <t>тыс. тонн</t>
  </si>
  <si>
    <t>Посевная площадь кормовых культур по сельскохозяйственным организациям, крестьянским (фермерским) хозяйствам, включая индивидуальных предпринимателей, в районах Крайнего Севера и приравненных к ним местностях</t>
  </si>
  <si>
    <t>тыс. гектаров</t>
  </si>
  <si>
    <t>11.1.8</t>
  </si>
  <si>
    <t>тыс. голов</t>
  </si>
  <si>
    <t>11.2.1</t>
  </si>
  <si>
    <t>11.2.3</t>
  </si>
  <si>
    <t>11.3.1</t>
  </si>
  <si>
    <t>11.3.2</t>
  </si>
  <si>
    <t>11.3.3</t>
  </si>
  <si>
    <t>Доля выявленной некачественной и опасной пищевой продукции животного происхождения при проведении ветеринарно-санитарной экспертизы</t>
  </si>
  <si>
    <t>11.3.4</t>
  </si>
  <si>
    <t>11.3.5</t>
  </si>
  <si>
    <t>11.3.6</t>
  </si>
  <si>
    <t>Количество животных (птиц), подвергнутых плановым профилактическим вакцинациям против особо опасных болезней животных и болезней, общих для человека и животных (птиц)</t>
  </si>
  <si>
    <t>тыс. гол.</t>
  </si>
  <si>
    <t>Количество животных, подвергнутых диагностическим исследованиям на особо опасные болезни животных (птиц) и болезни, общие для человека и животных (птиц)</t>
  </si>
  <si>
    <t>Количество сформированных рыболовных участков (нарастающим итогом)</t>
  </si>
  <si>
    <t>Количество сформированных рыбоводных участков (нарастающим итогом)</t>
  </si>
  <si>
    <t>Объем выпуска ценных видов водных биоресурсов в естественные водоемы</t>
  </si>
  <si>
    <t>Объем экспорта рыбы и морепродуктов</t>
  </si>
  <si>
    <t>12.0.1</t>
  </si>
  <si>
    <t>12.0.2</t>
  </si>
  <si>
    <t>Количество регулярных межмуниципальных маршрутов автомобильного, железнодорожного и морского транспорта</t>
  </si>
  <si>
    <t>12.0.3</t>
  </si>
  <si>
    <t>Количество дорожно-транспортных происшествий</t>
  </si>
  <si>
    <t>Подпрограмма 1. "Автомобильные дороги Мурманской области"</t>
  </si>
  <si>
    <t>12.1.1</t>
  </si>
  <si>
    <t>12.1.2</t>
  </si>
  <si>
    <t>12.1.3</t>
  </si>
  <si>
    <t>12.1.4</t>
  </si>
  <si>
    <t>12.1.6</t>
  </si>
  <si>
    <t>12.1.7</t>
  </si>
  <si>
    <t>м п.</t>
  </si>
  <si>
    <t>12.1.8</t>
  </si>
  <si>
    <t>12.1.9</t>
  </si>
  <si>
    <t>Подпрограмма 2. "Организация транспортного обслуживания населения на территории Мурманской области"</t>
  </si>
  <si>
    <t>12.2.1</t>
  </si>
  <si>
    <t>Доля населенных пунктов с ограниченным сроком завоза грузов, своевременно обеспеченных продовольственными товарами, в общем количестве населенных пунктов, отнесенных к районам с ограниченным сроком завоза грузов</t>
  </si>
  <si>
    <t>12.2.2</t>
  </si>
  <si>
    <t>Объем выполненной работы автомобильным транспортом на пригородных и междугородных маршрутах</t>
  </si>
  <si>
    <t>млн. пасс.-км</t>
  </si>
  <si>
    <t>млн. поездок</t>
  </si>
  <si>
    <t>12.2.4</t>
  </si>
  <si>
    <t>Объем выполненной работы пригородным железнодорожным транспортом</t>
  </si>
  <si>
    <t>Количество перевезенных пассажиров авиационным транспортом на территории Мурманской области</t>
  </si>
  <si>
    <t>Количество перевезенных пассажиров морским транспортом на территории Мурманской области</t>
  </si>
  <si>
    <t>Объем работы по перевозке льготных категорий граждан, выполненной автомобильным и наземным электрическим транспортом на городских маршрутах</t>
  </si>
  <si>
    <t>Подпрограмма 3. "Безопасность дорожного движения и снижение дорожно-транспортного травматизма в Мурманской области"</t>
  </si>
  <si>
    <t>12.3.1</t>
  </si>
  <si>
    <t>Количество ДТП с участием детей в возрасте до 16 лет</t>
  </si>
  <si>
    <t>Количество ДТП по вине пешеходов</t>
  </si>
  <si>
    <t>Доля правонарушений в сфере безопасности дорожного движения, выявленных при помощи средств фотовидеофиксации, от общего количества выявленных правонарушений</t>
  </si>
  <si>
    <t>12.3.5</t>
  </si>
  <si>
    <t>Уровень обеспеченности подразделений государственной противопожарной службы Мурманской области аварийно-спасательным оборудованием</t>
  </si>
  <si>
    <t>Число погибших в дорожно-транспортных происшествиях, человек на 100 тысяч населения</t>
  </si>
  <si>
    <t>13.0.1</t>
  </si>
  <si>
    <t>Численность занятых в сфере малого и среднего предпринимательства, включая индивидуальных предпринимателей</t>
  </si>
  <si>
    <t>13.0.2</t>
  </si>
  <si>
    <t>13.0.3</t>
  </si>
  <si>
    <t>13.1.1</t>
  </si>
  <si>
    <t>13.1.2</t>
  </si>
  <si>
    <t>13.1.3</t>
  </si>
  <si>
    <t>13.1.4</t>
  </si>
  <si>
    <t>Подпрограмма 2. "Поддержка малого и среднего предпринимательства"</t>
  </si>
  <si>
    <t>13.2.1</t>
  </si>
  <si>
    <t>13.2.2</t>
  </si>
  <si>
    <t>Количество субъектов малого и среднего предпринимательства (включая индивидуальных предпринимателей) в расчете на 1 тыс. человек населения</t>
  </si>
  <si>
    <t>13.2.3</t>
  </si>
  <si>
    <t>да-1, нет-0</t>
  </si>
  <si>
    <t>14.0.2</t>
  </si>
  <si>
    <t>14.0.3</t>
  </si>
  <si>
    <t>14.1.1</t>
  </si>
  <si>
    <t>14.1.2</t>
  </si>
  <si>
    <t>14.1.3</t>
  </si>
  <si>
    <t>14.1.4</t>
  </si>
  <si>
    <t>14.1.5</t>
  </si>
  <si>
    <t>14.2.1</t>
  </si>
  <si>
    <t>14.2.2</t>
  </si>
  <si>
    <t>14.2.3</t>
  </si>
  <si>
    <t>15.0.1</t>
  </si>
  <si>
    <t>15.0.2</t>
  </si>
  <si>
    <t>группа</t>
  </si>
  <si>
    <t>II</t>
  </si>
  <si>
    <t>15.0.4</t>
  </si>
  <si>
    <t>Подпрограмма 1. "Управление региональными финансами"</t>
  </si>
  <si>
    <t>15.1.1</t>
  </si>
  <si>
    <t>15.1.2</t>
  </si>
  <si>
    <t>15.1.4</t>
  </si>
  <si>
    <t>Подпрограмма 2. "Создание условий для сбалансированного и устойчивого исполнения местных бюджетов, содействие повышению качества управления муниципальными финансами"</t>
  </si>
  <si>
    <t>15.2.1</t>
  </si>
  <si>
    <t>15.2.2</t>
  </si>
  <si>
    <t>15.2.3</t>
  </si>
  <si>
    <t xml:space="preserve">да-1/нет-0
</t>
  </si>
  <si>
    <t>15.2.4</t>
  </si>
  <si>
    <t>15.3.1</t>
  </si>
  <si>
    <t>15.3.3</t>
  </si>
  <si>
    <t>15.4.1</t>
  </si>
  <si>
    <t>15.4.2</t>
  </si>
  <si>
    <t>15.4.3</t>
  </si>
  <si>
    <t>Доля опротестованных органами прокуратуры правовых актов Губернатора и Правительства Мурманской области от общего числа принятых правовых актов</t>
  </si>
  <si>
    <t>Доля муниципальных образований Мурманской области, которым была оказана организационная, методическая и консультационная поддержка в рамках программных мероприятий, от общего числа муниципальных образований</t>
  </si>
  <si>
    <t>Уровень общероссийской гражданской идентичности жителей Мурманской области</t>
  </si>
  <si>
    <t>Подпрограмма 1. "Создание условий для обеспечения государственного управления"</t>
  </si>
  <si>
    <t>Доля органов государственной власти Мурманской области, удовлетворенных материально-техническим, транспортным, документационным обеспечением их деятельности, осуществляемым ГОБУ «Автобаза Правительства Мурманской области» и ГОБУ «Управление по обеспечению деятельности Правительства Мурманской области», от общего количества органов государственной власти Мурманской области, принявших участие в анкетировании</t>
  </si>
  <si>
    <t>Объем юридических услуг, оказанных адвокатами в рамках государственной системы бесплатной юридической помощи</t>
  </si>
  <si>
    <t>Численность лиц, замещающих муниципальные должности, муниципальных служащих Мурманской области, сотрудников муниципальных бюджетных учреждений, прошедших обучение в рамках программных мероприятий</t>
  </si>
  <si>
    <t>Подпрограмма 2. "Управление государственным имуществом Мурманской области"</t>
  </si>
  <si>
    <t>единица</t>
  </si>
  <si>
    <t>Доля объектов недвижимости, в отношении которых осуществлены сбор, обработка, систематизация и накопление информации, в общем количестве объектов недвижимости, в отношении которых необходимо провести работы по сбору, обработке, систематизации и накоплению информации, необходимой для определения кадастровой стоимости</t>
  </si>
  <si>
    <t>Доля мировых судей, впервые назначенных на должность судьи, прошедших переподготовку в течение года со дня назначения на должность судьи</t>
  </si>
  <si>
    <t>Доля эксплуатируемых зданий (помещений) судебных участков мировых судей, отвечающих установленным требованиям,  от общего количества эксплуатируемых зданий (помещений) судебных участков мировых судей</t>
  </si>
  <si>
    <t>Доля судебных участков мировых судей, имеющих интернет-сайты с актуальной информацией о вынесенных судебных решениях и движении дел</t>
  </si>
  <si>
    <t xml:space="preserve"> - показатель имеет высокую степень достижения (от 99,5 до 150%) или перевыполнен (более 150%)</t>
  </si>
  <si>
    <t>**Динамика значений показателей рассчитана с учетом направленности показателей:</t>
  </si>
  <si>
    <t>1.7.1</t>
  </si>
  <si>
    <t>2.3.5</t>
  </si>
  <si>
    <t>2.3.6</t>
  </si>
  <si>
    <t>4.1.4</t>
  </si>
  <si>
    <t>8.0.3</t>
  </si>
  <si>
    <t>Минимущества МО</t>
  </si>
  <si>
    <t>Государственная программа 14. "Информационное общество"</t>
  </si>
  <si>
    <t>Государственная программа 16. "Государственное управление и гражданское общество"</t>
  </si>
  <si>
    <t>Проектно-изыскательские и прочие работы</t>
  </si>
  <si>
    <t>Подпрограмма "Автомобильные дороги Мурманской области"</t>
  </si>
  <si>
    <t xml:space="preserve">ФБ </t>
  </si>
  <si>
    <t>Подпрограмма "Развитие спортивной инфраструктуры"</t>
  </si>
  <si>
    <t>Подпрограмма "Развитие инфраструктуры системы здравоохранения"</t>
  </si>
  <si>
    <t>Степень выполнения</t>
  </si>
  <si>
    <t>Выполнено за счет остатков средств прошлых лет</t>
  </si>
  <si>
    <t>Кассовые расходы</t>
  </si>
  <si>
    <t xml:space="preserve">Предусмотрено программой </t>
  </si>
  <si>
    <t xml:space="preserve">Краткая характеристика работ, выполненных за отчетный период, причины отставания </t>
  </si>
  <si>
    <t>Техническая готовность объекта</t>
  </si>
  <si>
    <t>Источ-ник</t>
  </si>
  <si>
    <t>Общая стоимость объекта, тыс. рублей</t>
  </si>
  <si>
    <t>Сроки выполнения работ</t>
  </si>
  <si>
    <t>Соисполнитель (ГРБС), заказчик-застройщик</t>
  </si>
  <si>
    <t>Государственная программа, подпрограмма, объект капитального строительства</t>
  </si>
  <si>
    <t>Приложение № 4</t>
  </si>
  <si>
    <t>Комитет по туризму МО</t>
  </si>
  <si>
    <t>Риск «бытовой» коррупции</t>
  </si>
  <si>
    <t>Риск «деловой» коррупции</t>
  </si>
  <si>
    <t xml:space="preserve">Министерство внутренней политики Мурманской области                              </t>
  </si>
  <si>
    <t>Общая численность граждан, вовлеченных центрами (сообществами, объединениями) поддержки добровольчества (волонтерства) на базе образовательных организаций, некоммерческих организаций, государственных и муниципальных учреждений в добровольческую (волонтерскую) деятельность</t>
  </si>
  <si>
    <t>млн. человек</t>
  </si>
  <si>
    <t>5.3.1</t>
  </si>
  <si>
    <t>5.3.2</t>
  </si>
  <si>
    <t>5.3.3</t>
  </si>
  <si>
    <t>5.3.4</t>
  </si>
  <si>
    <t>Министерство транспорта и дорожного хозяйства Мурманской области</t>
  </si>
  <si>
    <t>Количество строящихся (реконструируемых) в рамках программы объектов</t>
  </si>
  <si>
    <t>Количество граждан, обратившихся в учреждения здравоохранения в связи с нападениями и укусами животных</t>
  </si>
  <si>
    <t xml:space="preserve">Доля укусов граждан животными без владельцев в общем количестве граждан, подвергшихся укусам животных </t>
  </si>
  <si>
    <t>Объемы и источники финансирования 
(тыс. руб.)</t>
  </si>
  <si>
    <t>Государственная программа 1. "Здравоохранение"</t>
  </si>
  <si>
    <t xml:space="preserve">Обеспеченность населения врачами в государственных (подчинения субъекта РФ) учреждениях здравоохранения
</t>
  </si>
  <si>
    <t>Доля лиц, обеспеченных лекарственными препаратами в амбулаторных условиях, в общем числе лиц, которые перенесли острое нарушение мозгового кровообращения, инфаркт миокарда, а также которым были выполнены аортокоронарное шунтирование, ангиопластика коронарных артерий со стентированием и катетерная абляция по поводу сердечно-сосудистых заболеваний, находящихся под диспансерным наблюдением</t>
  </si>
  <si>
    <t>Отклонение целевых показателей от плановых значений обусловлено  активной кадровой политикой</t>
  </si>
  <si>
    <t>Охват диспансеризацией детей-сирот и детей, оказавшихся в трудной жизненной ситуации</t>
  </si>
  <si>
    <t xml:space="preserve">Охват населения иммунизацией против вирусного гепатита B в декретированные сроки
</t>
  </si>
  <si>
    <t xml:space="preserve">Охват населения иммунизацией против дифтерии, коклюша и столбняка в декретированные сроки
</t>
  </si>
  <si>
    <t xml:space="preserve">Число лиц, дополнительно эвакуированных с использованием санитарной авиации
</t>
  </si>
  <si>
    <t>Подпрограмма 2. "Совершенствование оказания специализированной,  в том числе высокотехнологичной, медицинской помощи, скорой, в том числе скорой специализированной, медицинской помощи, медицинской эвакуации, медицинской реабилитации и паллиативной помощи"</t>
  </si>
  <si>
    <t xml:space="preserve">Больничная летальность от инфаркта миокарда
</t>
  </si>
  <si>
    <t>Смертность детей в возрасте 0 - 4 года</t>
  </si>
  <si>
    <t>на 1000, родившихся живыми</t>
  </si>
  <si>
    <t xml:space="preserve">Охват неонатальным скринингом
</t>
  </si>
  <si>
    <t>Доля государственных учреждений здравоохранения, здания которых находятся в аварийном состоянии или требуют капитального ремонта, в общем количестве государственных учреждений здравоохранения</t>
  </si>
  <si>
    <t>Количество объектов капитального строительства, введенных в эксплуатацию в рамках программы</t>
  </si>
  <si>
    <t xml:space="preserve">Количество приобретенного в рамках программы автотранспорта для подведомственных учреждений
</t>
  </si>
  <si>
    <t>Минздрав МО, Минстрой МО</t>
  </si>
  <si>
    <t>Число специалистов, вовлеченных в систему непрерывного образования медицинских работников, в том числе с использованием дистанционных образовательных технологий</t>
  </si>
  <si>
    <t>Численность врачей, работающих в государственных медицинских организациях Мурманской области</t>
  </si>
  <si>
    <t xml:space="preserve">Численность средних медицинских работников, работающих в государственных медицинских организациях Мурманской области
</t>
  </si>
  <si>
    <t>Доля специалистов, допущенных к профессиональной деятельности через процедуру аккредитации, от общего количества работающих специалистов</t>
  </si>
  <si>
    <t>Количество автоматизированных рабочих мест медицинских работников, подключенных к медицинским информационным системам в государственных областных медицинских организациях Мурманской области</t>
  </si>
  <si>
    <t xml:space="preserve">Доля территориально выделенных структурных подразделений государственных областных медицинских организаций (включая ФАП и ФП), оказывающих медицинскую помощь, подключенных по защищенным каналам передачи данных к региональному сегменту ЕГИСЗ
</t>
  </si>
  <si>
    <t>Доля территориально выделенных структурных подразделений государственных областных медицинских организаций (включая ФАП и ФП), оказывающих медицинскую помощь, осуществляющих передачу медицинской информации в региональную интегрированную электронную медицинскую карту</t>
  </si>
  <si>
    <t>Доля территориально выделенных структурных подразделений государственных областных медицинских организаций (включая ФАП и ФП), оказывающих медицинскую помощь, передающих юридически значимые электронные медицинские документы в подсистему ЕГИСЗ "Реестр электронных медицинских документов"</t>
  </si>
  <si>
    <t xml:space="preserve">Подпрограмма 7 "Управление системой здравоохранения, включая обеспечение реализации государственной программы"                                                                                                                               </t>
  </si>
  <si>
    <t>1.7.2</t>
  </si>
  <si>
    <t xml:space="preserve">Доля предоставленных/переоформленных лицензий в общем количестве рассмотренных заявлений о предоставлении/переоформлении лицензии на осуществление медицинской, фармацевтической и деятельности по обороту наркотических средств, психотропных веществ и их прекурсоров, культивированию наркосодержащих растений
</t>
  </si>
  <si>
    <t>Государственная программа 2. "Образование и наука"</t>
  </si>
  <si>
    <t>2.0.5</t>
  </si>
  <si>
    <t>Доля детей в возрасте от 5 до 18 лет, охваченных дополнительным образованием</t>
  </si>
  <si>
    <t>Численность студентов, обучающихся по основным образовательным программам среднего профессионального образования в профессиональных образовательных организациях, в расчете на одного работника, замещающего должности преподавателей и (или) мастеров производственного обучения</t>
  </si>
  <si>
    <t>Отношение средней заработной платы преподавателей и мастеров производственного обучения профессиональных образовательных организаций к среднемесячному доходу от трудовой деятельности в Мурманской области</t>
  </si>
  <si>
    <t>Количество мероприятий в сфере исследований и научных разработок (конкурс монографий и научных трудов, конкурс научных работ молодых ученых и специалистов Мурманской области, региональный молодежный форум "Молодая наука Арктики" и т.д.)</t>
  </si>
  <si>
    <t>Подпрограмма 2. "Развитие дошкольного и общего образования"</t>
  </si>
  <si>
    <t>Отношение среднемесячной заработной платы педагогических работников дошкольных образовательных учреждений в организациях государственной и муниципальной форм собственности в размере не менее 100 % от средней заработной платы в сфере общего образования в Мурманской области</t>
  </si>
  <si>
    <t>Доля учителей в возрасте до 35 лет, вовлеченных в различные формы поддержки и сопровождения в первые три года работы</t>
  </si>
  <si>
    <t>Доля граждан, положительно оценивших качество услуг психолого-педагогической, методической и консультативной помощи, от общего числа обратившихся за получением услуги</t>
  </si>
  <si>
    <t>Отношение среднемесячной заработной платы педагогических работников образовательных учреждений общего образования в организациях государственной и муниципальной форм собственности к среднемесячному доходу от трудовой деятельности в Мурманской области</t>
  </si>
  <si>
    <t>Подпрограмма 3. "Развитие дополнительного образования"</t>
  </si>
  <si>
    <t>Доля детей, получающих услуги дополнительного образования в негосударственных организациях, в общем числе детей, охваченных дополнительным образованием</t>
  </si>
  <si>
    <t>Доля детей, охваченных дополнительными общеобразовательными программами технической и естественно-научной направленности в системе образования</t>
  </si>
  <si>
    <t>Отношение средней заработной платы педагогических работников государственных организаций дополнительного образования детей, подведомственных Министерству образования и науки Мурманской области, к средней заработной плате учителей</t>
  </si>
  <si>
    <t>Удельный вес численности обучающихся по основным образовательным программам начального общего, основного общего и среднего общего образования, участвующих в олимпиадах и конкурсах регионального уровня, в общей численности обучающихся по основным образовательным программам начального, основного общего и среднего общего образования</t>
  </si>
  <si>
    <t>Удельный вес численности детей, охваченных мероприятиями профилактической направленности</t>
  </si>
  <si>
    <t>Доля отдохнувших и оздоровленных детей в возрасте от 6 до 18 лет в оздоровительных учреждениях от общей численности детей данной возрастной категории</t>
  </si>
  <si>
    <t>2.4.1</t>
  </si>
  <si>
    <t>2.4.2</t>
  </si>
  <si>
    <t>Подпрограмма 4. "Совершенствование управления системой образования"</t>
  </si>
  <si>
    <t>Государственная программа 3. "Социальная поддержка"</t>
  </si>
  <si>
    <t>Подпрограмма 1. "Модернизация системы социальной защиты населения Мурманской области"</t>
  </si>
  <si>
    <t>Доля лиц, получающих социальные услуги в организациях социального обслуживания, охваченных социальным сопровождением, в числе лиц, получающих социальные услуги в организациях социального обслуживания</t>
  </si>
  <si>
    <t>Отношение средней заработной платы социальных работников в организациях государственной и муниципальной форм собственности, включая социальных работников медицинских организаций, к среднемесячной начисленной заработной плате наемных работников в организациях, у индивидуальных предпринимателей и физических лиц (среднемесячному доходу от трудовой деятельности) по региону</t>
  </si>
  <si>
    <t>3.2.11</t>
  </si>
  <si>
    <t>3.2.12</t>
  </si>
  <si>
    <t>Доля средств областного бюджета, предусмотренных на социальное обеспечение и иные выплаты населению, предоставляемые на основе принципов адресности и нуждаемости, в общем объеме средств областного бюджета, предусмотренных на социальное обеспечение и иные выплаты населению</t>
  </si>
  <si>
    <t>Доля инвалидов, положительно оценивающих уровень доступности предоставляемых услуг в сферах социальной защиты и социального обслуживания, в общей численности опрошенных инвалидов в Мурманской области</t>
  </si>
  <si>
    <t>Доля граждан, охваченных мероприятиями социально ориентированных некоммерческих организаций (СО НКО), получивших финансовую поддержку на конкурсной основе на реализацию социально значимых программ (проектов), от общего количества граждан, запланированных к участию в таких мероприятиях</t>
  </si>
  <si>
    <t>Подпрограмма 3. "Оказание мер социальной поддержки детям-сиротам, детям, оставшимся без попечения родителей, лицам из числа указанной категории детей, а также гражданам, желающим взять детей на воспитание в семью"</t>
  </si>
  <si>
    <t>Доля детей-сирот и детей, оставшихся без попечения родителей, лиц из их числа,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включенных в сводный список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подлежащих обеспечению жилыми помещениями на территории Мурманской области, обеспеченных жилыми помещениями за отчетный финансовый год в численности детей-сирот и детей, оставшихся без попечения родителей, лиц из их числа,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подлежащих обеспечению жилыми помещениями в отчетном году</t>
  </si>
  <si>
    <t>Численность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обеспеченных благоустроенными жилыми помещениями специализированного жилищного фонда по договорам найма специализированных жилых помещений за счет средств субвенции из областного бюджета бюджетам органов местного самоуправления</t>
  </si>
  <si>
    <t>Доля детей, в отношении которых установлен социальный патронат</t>
  </si>
  <si>
    <t>3.3.6</t>
  </si>
  <si>
    <t>Государственная программа 4. "Физическая культура и спорт"</t>
  </si>
  <si>
    <t>Государственная программа 5. "Культура"</t>
  </si>
  <si>
    <t>процентов</t>
  </si>
  <si>
    <t xml:space="preserve">Уровень удовлетворенности населения качеством предоставления государственных (муниципальных) услуг в сфере культуры </t>
  </si>
  <si>
    <t>баллы</t>
  </si>
  <si>
    <t xml:space="preserve">Доля объектов культурного наследия регионального значения, обеспеченных зонами охраны                                                </t>
  </si>
  <si>
    <t>Доля объектов культурного наследия, в отношении которых проведены мероприятия по государственной охране</t>
  </si>
  <si>
    <t xml:space="preserve">Средняя численность пользователей архивной информацией на 10 тысяч населения 
</t>
  </si>
  <si>
    <t>Доля документов, переведенных в электронный вид, от общего количества документов Архивного фонда Мурманской области, принятых на государственное хранение</t>
  </si>
  <si>
    <t xml:space="preserve">Доля экспонируемых музейных предметов за отчетный период от общего количества предметов музейного фонда </t>
  </si>
  <si>
    <t>Подпрограмма 2. "Модернизация системы государственных и муниципальных библиотек  и развитие литературного творчества в Мурманской области"</t>
  </si>
  <si>
    <t>Доля зарегистрированных пользователей государственных и муниципальных библиотек из числа молодежи в возрасте 15-30 лет включительно в общем числе проживающих в регионе лиц этой возрастной категории</t>
  </si>
  <si>
    <t>Количество литераторов, получивших экспертную оценку и поддержку на издание и публикацию произведений</t>
  </si>
  <si>
    <t>Подпрограмма 3. "Развитие искусства, творческого потенциала и организация досуга населения"</t>
  </si>
  <si>
    <t>Доля учащихся образовательных организаций в сфере культуры, привлеченных к участию международных, всероссийских, региональных творческих мероприятиях по отношению к показателю 2017 года</t>
  </si>
  <si>
    <t>Рост количества  мероприятий,  проводимых в  государственных театрально-зрелищных организациях в рамках государственной программы  по отношению к 2017 году</t>
  </si>
  <si>
    <t>Число посещений культурно-массовых мероприятий, проводимых государственными и муниципальными культурно-досуговыми учреждениями, на 100 тыс населения</t>
  </si>
  <si>
    <t>Прирост количества субсидий (в том числе грантов в форме субсидий), предоставленных негосударственным организациям и юридическим или физическим лицам, по отношению к уровню 2020 года</t>
  </si>
  <si>
    <t>Количество работников учреждений культуры и образования в сфере культуры, которым оказана поддержка</t>
  </si>
  <si>
    <t>Государственная программа 6. "Занятость и труд"</t>
  </si>
  <si>
    <t>Коэффициент территориальной дифференциации безработицы</t>
  </si>
  <si>
    <t>6.2.2</t>
  </si>
  <si>
    <t>6.2.3</t>
  </si>
  <si>
    <t>Численность участников Госпрограммы и членов их семей, прибывших в Мурманскую область и поставленных на учет в Управлении Министерства внутренних дел Российской Федерации по Мурманской области</t>
  </si>
  <si>
    <t>Доля участников Госпрограммы и членов их семей трудоспособного возраста, переселившихся в регион, в общем числе участников Госпрограммы и членов их семей, прибывших в Мурманскую область и поставленных на учет в УМВД России по Мурманской области</t>
  </si>
  <si>
    <t>Численность участников Госпрограммы, имеющих двух и более детей, прибывших в Мурманскую область и поставленных на учет в УМВД России по Мурманской области</t>
  </si>
  <si>
    <t>Подпрограмма 3. "Улучшение условий и охраны труда в Мурманской области"</t>
  </si>
  <si>
    <t>5.3.6</t>
  </si>
  <si>
    <t>6.3.1</t>
  </si>
  <si>
    <t>Численность пострадавших (застрахованных работников) в результате несчастных случаев на производстве с утратой трудоспособности на 1 рабочий день и более</t>
  </si>
  <si>
    <t>Численность работников с впервые установленным в текущем году профессиональным заболеванием</t>
  </si>
  <si>
    <t>6.3.2</t>
  </si>
  <si>
    <t>6.3.3</t>
  </si>
  <si>
    <t>6.3.4</t>
  </si>
  <si>
    <t>6.3.5</t>
  </si>
  <si>
    <t>6.3.6</t>
  </si>
  <si>
    <t>6.3.7</t>
  </si>
  <si>
    <t>6.3.8</t>
  </si>
  <si>
    <t>Государственная программа 9. "Общественная безопасность"</t>
  </si>
  <si>
    <t xml:space="preserve">Уровень преступности
</t>
  </si>
  <si>
    <t xml:space="preserve">Количество деструктивных событий (количество ЧС и пожаров)
</t>
  </si>
  <si>
    <t xml:space="preserve">Количество пострадавших (людей, погибших или получивших ущерб здоровью) при деструктивных событиях (в ЧС и при пожарах)
</t>
  </si>
  <si>
    <t>количество преступлений на 100 тыс. человек</t>
  </si>
  <si>
    <t>Превышение планового показателя связано с повышением эффективности проведения профилактических мер по предупреждению деструктивных событий</t>
  </si>
  <si>
    <t>Удельный вес преступлений, совершенных в общественных местах, к общему числу зарегистрированных преступлений</t>
  </si>
  <si>
    <t>Государственная программа 10. "Природные ресурсы и экологи"</t>
  </si>
  <si>
    <t xml:space="preserve">Доля массовых социально значимых услуг, предоставляемых в электронном виде на Едином портале государственных и муниципальных услуг (функций)
</t>
  </si>
  <si>
    <t xml:space="preserve">Доля домохозяйств, имеющих широкополосный доступ к сети Интернет
</t>
  </si>
  <si>
    <t xml:space="preserve">Количество платформенных решений и сервисов, используемых для взаимодействия исполнительными органами государственной власти, органами местного самоуправления, населения и бизнеса Мурманской области
</t>
  </si>
  <si>
    <t>Подпрограмма 1. "Развитие информационного общества и внедрение цифровых технологий"</t>
  </si>
  <si>
    <t xml:space="preserve">Уровень удовлетворенности граждан качеством предоставления государственных услуг на базе МФЦ в соответствии с оценками, переданными в ИАС "Мониторинг качества государственных услуг"
</t>
  </si>
  <si>
    <t xml:space="preserve">Доля документов исполнительных органов государственной власти Мурманской области, изданных в электронном виде
</t>
  </si>
  <si>
    <t xml:space="preserve">Доля жителей Мурманской области, зарегистрированных в Единой системе идентификации и аутентификации
</t>
  </si>
  <si>
    <t xml:space="preserve">Средний срок простоя государственных информационных систем в результате компьютерных атак
</t>
  </si>
  <si>
    <t xml:space="preserve">Доступность государственных информационных систем, включенных в информационно-вычислительную сеть исполнительных органов государственной власти Мурманской области
</t>
  </si>
  <si>
    <t xml:space="preserve">Министерство внутренней политики Мурманской области </t>
  </si>
  <si>
    <t>Подпрограмма 2. "Цифровая трансформация форматов взаимодействия населения Мурманской области и исполнительных органов государственной власти и органов местного самоуправления Мурманской области"</t>
  </si>
  <si>
    <t xml:space="preserve">Доля муниципальных образований, подключенных к единой системе мониторинга уборки территорий муниципальных образований, от общего количества муниципальных образований
</t>
  </si>
  <si>
    <t xml:space="preserve">Количество уникальных активных пользователей мобильного приложения информационного портала о туристических и культурных достопримечательностях Мурманской области
</t>
  </si>
  <si>
    <t>Государственная программа 15. "Финансы"</t>
  </si>
  <si>
    <t xml:space="preserve">Доля выполненных муниципальными районами (муниципальными округами, городскими округами) обязательств, установленных соглашениями о мерах по социально-экономическому развитию и оздоровлению муниципальных финансов
</t>
  </si>
  <si>
    <t xml:space="preserve">Среднее значение сводного рейтинга главных администраторов средств областного бюджета по итогам оценки качества финансового менеджмента
</t>
  </si>
  <si>
    <t xml:space="preserve">Степень достижения максимально возможного количества баллов, набранных в ходе проведения мониторинга и составления рейтинга субъектов Российской Федерации по уровню открытости бюджетных данных
</t>
  </si>
  <si>
    <t xml:space="preserve">Доля просроченной кредиторской задолженности в расходах консолидированного бюджета Мурманской области
</t>
  </si>
  <si>
    <t>Темп роста расчетной бюджетной обеспеченности по 5 наименее обеспеченным муниципальным образованиям (к уровню 2013 года)</t>
  </si>
  <si>
    <t>Отсутствие просроченной кредиторской задолженности по расходам на оплату труда работников муниципальных учреждений при выполнении полномочий органов местного самоуправления по вопросам местного значения</t>
  </si>
  <si>
    <t xml:space="preserve">Снижение просроченной кредиторской задолженности местных бюджетов по состоянию на 1 января года, следующего за отчетным, в соответствии с Соглашением о мерах по восстановлению платежеспособности муниципального образования
</t>
  </si>
  <si>
    <t xml:space="preserve">Количество муниципальных образований, имеющих высокое и надлежащее качество управления муниципальными финансами
</t>
  </si>
  <si>
    <t>Подпрограмма 3. "Организация и осуществление контроля и надзора в бюджетно-финансовой сфере и в сфере закупок товаров, работ, услуг для государственных и муниципальных нужд"</t>
  </si>
  <si>
    <t xml:space="preserve">
Эффективность осуществления контрольных мероприятий в финансово-бюджетной сфере
</t>
  </si>
  <si>
    <t xml:space="preserve">Эффективность контроля за соблюдением законодательства Российской Федерации и иных нормативных правовых актов о контрактной системе в сфере закупок товаров, работ, услуг для обеспечения государственных и муниципальных нужд
</t>
  </si>
  <si>
    <t>Подпрограмма 4. "Развитие системы управления государственными закупками Мурманской области, закупками отдельных видов юридических лиц"</t>
  </si>
  <si>
    <t>Среднее количество участников в конкурентных закупках</t>
  </si>
  <si>
    <t>Экономия бюджетных средств по закупкам товаров, работ, услуг, осуществленным на региональной электронной площадке</t>
  </si>
  <si>
    <t>Доля состоявшихся совместных закупок учреждений здравоохранения, осуществленных конкурентными способами, в общем объеме состоявшихся закупок данных учреждений, осуществленных конкурентными способами</t>
  </si>
  <si>
    <t>Доля закупок, осуществленных конкурентными способами, в общем объеме осуществленных закупок</t>
  </si>
  <si>
    <t>Комитет по конкурентной политике МО</t>
  </si>
  <si>
    <t>Доля вакантных должностей государственной гражданской службы региона, замещенных на основе назначения из кадрового резерва на гражданской службе и по результатам конкурса</t>
  </si>
  <si>
    <t xml:space="preserve">Доля граждан, получивших бесплатную юридическую помощь в рамках государственной системы бесплатной юридической помощи, от общего количества граждан, обратившихся  к адвокатам за получением бесплатной юридической помощи </t>
  </si>
  <si>
    <t>Доля деперсонифицированных судебных актов, опубликованных на официальных сайтах мировых судей Мурманской области, от общего числа подлежащих обязательному опубликованию</t>
  </si>
  <si>
    <t>Доля объектов недвижимого имущества Мурманской области, закрепленных  за областными организациями, вовлеченных  в хозяйственный оборот в отчетном году, в общем количестве объектов недвижимого  имущества, не задействованных при осуществлении  региональных  полномочий, согласно поступившим обращениям</t>
  </si>
  <si>
    <t>Доля площади земельных  участков, вовлеченных в хозяйственный оборот, в общей площади Мурманской области</t>
  </si>
  <si>
    <t>Доля официальных мероприятий, проведенных без обоснованных замечаний по качеству подготовки в адрес Аппарата Правительства Мурманской области, в общем количестве проведенных мероприятий</t>
  </si>
  <si>
    <t>Министерство юстиции МО</t>
  </si>
  <si>
    <t>Доля объектов недвижимого  имущества, сведения о которых учтены в реестре государственного имущества Мурманской области</t>
  </si>
  <si>
    <t>Доля государственных областных  унитарных  предприятий и хозяйственных  обществ, в уставном капитале которых доля участия РФ и Мурманской области в совокупности превышает 50%, в отношении которых приняты ключевые показатели эффективности для оценки работы менеджмента, от общего количества государственных областных  унитарных  предприятий и хозяйственных  обществ, осуществляющих хозяйственную деятельность</t>
  </si>
  <si>
    <t>Доля земельных  участков, в отношении которых проведена актуализация государственной кадастровой  оценки, в общем количестве земельных  участков, подлежащих государственной кадастровой оценке</t>
  </si>
  <si>
    <t>Количество земельных  участков, в отношении которых осуществлена государственная регистрация права государственной собственности Мурманской области</t>
  </si>
  <si>
    <t xml:space="preserve">Доля объектов казны Мурманской области, вовлеченных в хозяйственный оборот в отчетном году, в общем количестве объектов казны на конец года (без учета земельных участков) </t>
  </si>
  <si>
    <t xml:space="preserve">Количество государственных  областных унитарных предприятий и акционерных  обществ, акции (доли) которых  находятся в областной собственности, осуществляющих уставную  деятельность </t>
  </si>
  <si>
    <t>Подпрограмма 3. "Укрепление единства российской нации, развитие гражданского общества и сохранение  этнокультурного многообразия  в Мурманской области"</t>
  </si>
  <si>
    <t xml:space="preserve">Доля граждан, удовлетворенных качеством реализуемых мероприятий, направленных на укрепление общероссийской идентичности граждан в Мурманской области, от общего числа опрошенных лиц </t>
  </si>
  <si>
    <t>Доля граждан, положительно оценивающих состояние межнациональных отношений, в общей численности опрошенных граждан региона</t>
  </si>
  <si>
    <t>Доля граждан из числа КМНС, удовлетворенных качеством реализуемых мероприятий, направленных на поддержку экономического и социального развития КМНС, от общего числа опрошенных лиц, относящихся к КМНС</t>
  </si>
  <si>
    <t>Доля молодых людей, вовлеченных в мероприятия, направленные на повышение гражданской активности молодежи, в общей численности молодежи в возрасте от 14 до 35 лет</t>
  </si>
  <si>
    <t>Подпрограмма 4. "Развитие института мировой юстиции в Мурманской области"</t>
  </si>
  <si>
    <t>Доля мировых судей, положительно оценивающих уровень материально-технического и информационно-технологического обеспечения судебных участков мировых судей Мурманской области</t>
  </si>
  <si>
    <t>Подпрограмма 5. "Создание условий для позиционирования Мурманской области как ключевой территории опережающего развития в Арктической зоне Российской Федерации и повышения информационной открытости исполнительных органов государственной власти Мурманской области"</t>
  </si>
  <si>
    <t xml:space="preserve">Обеспечена реализация приоритетных мероприятий </t>
  </si>
  <si>
    <t>(да - 1/ нет - 0)</t>
  </si>
  <si>
    <t>Доля граждан, проживающих на территории Мурманской области, удовлетворенных информационной открытостью исполнительных органов государственной власти Мурманской области, в общей численности опрошенных граждан</t>
  </si>
  <si>
    <t>Министерство информационной политики Мурманской области</t>
  </si>
  <si>
    <t xml:space="preserve">Министерство информационной политики Мурманской области </t>
  </si>
  <si>
    <t>Государственная программа 7. "Комфортное жилье и городская среда"</t>
  </si>
  <si>
    <t>Объем жилищного строительства в год</t>
  </si>
  <si>
    <t xml:space="preserve">Количество семей, улучшивших жилищные условия
</t>
  </si>
  <si>
    <t xml:space="preserve">Количество граждан, улучшивших жилищные условия в результате капитального ремонта МКД
</t>
  </si>
  <si>
    <t xml:space="preserve">чел
</t>
  </si>
  <si>
    <t>Доля компенсированных недополученных доходов от общего объема недополученных доходов, заявленного ресурсоснабжающими организациями</t>
  </si>
  <si>
    <t>Подпрограмма 1. "Жилье"</t>
  </si>
  <si>
    <t>Количество отчетов по мониторингу стоимости строительных ресурсов</t>
  </si>
  <si>
    <t>ед</t>
  </si>
  <si>
    <t>Доля ветеранов ВОВ, инвалидов и семей, имеющих детей-инвалидов,  улучшивших жилищные условия, в общей численности указанных категорий граждан, вставших на учет в качестве нуждающихся в органах местного самоуправления (нарастающим итогом)</t>
  </si>
  <si>
    <t xml:space="preserve">Количество многодетных семей, получивших единовременную денежную выплату на улучшение жилищных условий взамен земельного участка
</t>
  </si>
  <si>
    <t xml:space="preserve">Количество земельных участков, в отношении которых проведены мероприятия по обеспечению объектами коммунальной и дорожной инфраструктуры
</t>
  </si>
  <si>
    <t>Подпрограмма 2. "Формирование комфортной городской среды"</t>
  </si>
  <si>
    <t>шт.</t>
  </si>
  <si>
    <t>7.2.3</t>
  </si>
  <si>
    <t>Подпрограмма 3. "Сокращение непригодного для проживания жилищного фонда"</t>
  </si>
  <si>
    <t>7.3.1</t>
  </si>
  <si>
    <t>7.3.2</t>
  </si>
  <si>
    <t>Количество перерывов в подаче воды, возникших в результате аварий на объектах системы водоснабжения, в расчете на протяженность водопроводной сети</t>
  </si>
  <si>
    <t>ед./на 1 км</t>
  </si>
  <si>
    <t>кгут/10 тыс. руб.</t>
  </si>
  <si>
    <t>7.4.2.1</t>
  </si>
  <si>
    <t>7.4.2.2</t>
  </si>
  <si>
    <t>7.4.2.3</t>
  </si>
  <si>
    <t>Минэнерго и ЖКХ</t>
  </si>
  <si>
    <t xml:space="preserve">5.1 Доля обращений граждан в адрес ГЖИ по вопросам качества предоставления коммунальных услуг, аварий на инженерных сетях, протечки кровель, подтопления подвалов и разрушения конструктивных элементов многоквартирных домов       </t>
  </si>
  <si>
    <t xml:space="preserve">5.2. Снижение количества проверок по обращениям граждан, проводимых Государственной жилищной инспекцией Мурманской области  по вопросам качества предоставления коммунальных услуг, аварий на инженерных сетях, протечки кровель, подтопления подвалов и разрушения конструктивных элементов многоквартирных домов
</t>
  </si>
  <si>
    <t>Подпрограмма 1. "Развитие массового спорта, реализация мероприятий по информированию граждан"</t>
  </si>
  <si>
    <t>Подпрограмма 2. "Подготовка спортивного резерва, реализация календарного плана официальных физкультурных мероприятий и спортивных мероприятий Мурманской области"</t>
  </si>
  <si>
    <t>Численность спортсменов МО, включенных в список кандидатов в спортивные сборные команды Российской Федерации</t>
  </si>
  <si>
    <t>Доля спортсменов-разрядников в общем количестве лиц, занимающихся в системе спортивных школ олимпийского резерва</t>
  </si>
  <si>
    <t>7.5.1</t>
  </si>
  <si>
    <t>7.5.2</t>
  </si>
  <si>
    <t>Доля площади Мурманской области, занятая особо охраняемыми природными территориями федерального, регионального и местного значения</t>
  </si>
  <si>
    <t>Доля водохозяйственных участков, класс качества которых (по индексу загрязнения) повысился, в общем количестве водохозяйственных участков, расположенных на территории Мурманской области</t>
  </si>
  <si>
    <t>Доля площади Мурманской области, на которой ликвидирован накопленный вред окружающей среде (экологический ущерб)</t>
  </si>
  <si>
    <t>Доля твердых коммунальных отходов, направленных на обработку(сортировку), в общей массе образованных твердых коммунальных отходов</t>
  </si>
  <si>
    <r>
      <t xml:space="preserve">ö </t>
    </r>
    <r>
      <rPr>
        <b/>
        <sz val="10"/>
        <rFont val="Times New Roman"/>
        <family val="1"/>
        <charset val="204"/>
      </rPr>
      <t>=</t>
    </r>
  </si>
  <si>
    <t>Доля редких и исчезающих объектов растительного и животного мира, подлежащих обследованию для переиздания Красной книги Мурманской области</t>
  </si>
  <si>
    <t>Доля населения области, охваченного информационно-просветительскими мероприятиями экологической направленности</t>
  </si>
  <si>
    <t>Отношение площади лесовосстановления и лесоразведения к площади вырубленных и погибших лесных насаждений</t>
  </si>
  <si>
    <t>Отношение фактического объема заготовки древесины к установленному допустимому объему изъятия древесины</t>
  </si>
  <si>
    <t>Заключение новых договоров аренды</t>
  </si>
  <si>
    <t>Протяженность вынесенных в натуру водоохранных зон и прибрежных защитных полос водных объектов</t>
  </si>
  <si>
    <t>Количество подготовленной геологической информации о состоянии минерально-сырьевой базы общераспространенных полезных ископаемых</t>
  </si>
  <si>
    <t>Протяженность участков очищенной прибрежной полосы водных объектов (нарастающим итогом)</t>
  </si>
  <si>
    <t>Количество населения Мурманской области, вовлеченного в мероприятия по очистке берегов водных объектов (нарастающим итогом)</t>
  </si>
  <si>
    <t xml:space="preserve">тыс. чел.
</t>
  </si>
  <si>
    <t>Доля твердых коммунальных отходов, направленных на утилизацию, выделенных в результате раздельного накопления и обработки (сортировки) твердых коммунальных отходов, в общей массе образованных твердых коммунальных отходов</t>
  </si>
  <si>
    <t>Доля площади Мурманской области, охваченной мониторингом объектов накопленного вреда окружающей среде (накопленного экологического ущерба), в общей площади территории Мурманской области</t>
  </si>
  <si>
    <t>Обеспеченность объектов накопленного вреда окружающей среде (накопленного экологического ущерба) проектно-сметной документацией на их ликвидацию</t>
  </si>
  <si>
    <t xml:space="preserve">Закуплены контейнеры для раздельного накопления твердых коммунальных отходов, устанавливаемые на контейнерные площадки, включенные в реестр мест (площадок) накопления твердых коммунальных отходов </t>
  </si>
  <si>
    <t>Минэнерго и ЖКХ МО</t>
  </si>
  <si>
    <t>Государственная программа 11. "Рыбное и сельское хозяйство"</t>
  </si>
  <si>
    <t>Индекс производства по виду экономической деятельности "Переработка и консервирование рыбы, ракообразных и моллюсков"</t>
  </si>
  <si>
    <t>тонн</t>
  </si>
  <si>
    <t>Протяженность береговой полосы водных объектов рыбохозяйственного значения, на которой выполнены рыбохозяйственные мероприятия</t>
  </si>
  <si>
    <t xml:space="preserve">тыс. экземпляров
</t>
  </si>
  <si>
    <t>Объем предоставленных в пользование водных биологических ресурсов в рамках региональных полномочий</t>
  </si>
  <si>
    <t>Объем рыбной продукции, реализованной населению в рамках проекта "Наша рыба"</t>
  </si>
  <si>
    <t>11.2.4</t>
  </si>
  <si>
    <t>11.2.5</t>
  </si>
  <si>
    <t>11.2.6</t>
  </si>
  <si>
    <t>11.2.7</t>
  </si>
  <si>
    <t>Подпрограмма 3. "Обеспечение эпизоотического благополучия региона и защиты населения от болезней, общих для человека и животных"</t>
  </si>
  <si>
    <t>Число случаев возникновения очагов особо опасных болезней животных</t>
  </si>
  <si>
    <t>Число случаев возникновения заразных болезней животных</t>
  </si>
  <si>
    <t>Доля устраненных нарушений обязательных требований в области обращения с животными</t>
  </si>
  <si>
    <t>Подпрограмма 5. "Комплексное развитие сельских территорий Мурманской области"</t>
  </si>
  <si>
    <t>Государственная программа 13. "Экономический потенциал"</t>
  </si>
  <si>
    <t>Индекс промышленного производства</t>
  </si>
  <si>
    <t>Объем инвестиций в основной капитал (без бюджетных средств)</t>
  </si>
  <si>
    <t>млрд рублей</t>
  </si>
  <si>
    <t>Объем платных услуг, оказанных населению в сфере туризма (включая туристские услуги, услуги гостиниц и аналогичных средств размещения, санаторно-оздоровительных организаций)</t>
  </si>
  <si>
    <t>Министерство развития Арктики и экономики МО</t>
  </si>
  <si>
    <t>Подпрограмма 1. "Создание условий для привлечения инвестиций, развития и модернизации промышленного комплекса, повышения конкурентоспособности производства (деятельности)"</t>
  </si>
  <si>
    <t>Коэффициент бюджетной эффективности от предоставленных налоговых льгот в рамках соглашений с компаниями о защите и поощрении капитальных вложений, о государственной поддержке инвестиционной деятельности, СПИК не менее 1 (1 рубль налоговых и неналоговых поступлений в консолидированный бюджет региона от реализуемых инвестиционных проектов на 1 рубль предоставленных налоговых льгот)</t>
  </si>
  <si>
    <t>Количество заключенных соглашений (дополнительных соглашений) с компаниями о защите и поощрении капитальных вложений, о государственной поддержке инвестиционной деятельности (нарастающим итогом к 2019 году)</t>
  </si>
  <si>
    <t>Количество резидентов Арктической зоны Российской Федерации и территории опережающего социально-экономического развития "Столица Арктики" (нарастающим итогом с 2020 года)</t>
  </si>
  <si>
    <t>Объем инвестиций, привлеченных резидентами Арктической зоны Российской Федерации и территории опережающего социально-экономического развития "Столица Арктики" (нарастающим итогом с 2020 года)</t>
  </si>
  <si>
    <t>Количество созданных рабочих мест резидентами Арктической зоны Российской Федерации и территории опережающего социально-экономического развития "Столица Арктики" (нарастающим итогом с 2020 года)</t>
  </si>
  <si>
    <t>место</t>
  </si>
  <si>
    <t>13.1.5</t>
  </si>
  <si>
    <t>Количество самозанятых граждан, зафиксировавших свой статус и применяющих специальный налоговый режим "Налог на профессиональный доход" (НПД) (накопительным итогом)</t>
  </si>
  <si>
    <t>Подпрограмма 3. "Развитие туризма"</t>
  </si>
  <si>
    <t>Объем туристского потока в Мурманской области</t>
  </si>
  <si>
    <t>Подпрограмма 4. "Развитие международных и внешнеэкономических связей, приграничного, межрегионального сотрудничества"</t>
  </si>
  <si>
    <t xml:space="preserve">Внедрен и реализуется Региональный экспортный стандарт 2.0 </t>
  </si>
  <si>
    <t>Количество приоритетных с точки зрения экономики региона мероприятий регионального, межрегионального и международного значения на территории региона и Российской Федерации, а также за рубежом</t>
  </si>
  <si>
    <t>Доля экспорта товаров в объеме внешнеторгового оборота не менее 90 %</t>
  </si>
  <si>
    <t>0 - нет, 1 - да</t>
  </si>
  <si>
    <t xml:space="preserve"> - значение показателя по сравнению с 2020 годом улучшилось не менее чем на 1%</t>
  </si>
  <si>
    <t xml:space="preserve"> - значение показателя на уровне 2020 года (динамика значений в интервале от 99% до 101% к 2020 году)</t>
  </si>
  <si>
    <t xml:space="preserve"> - значение показателя по сравнению с 2020 годом ухудшилось более чем на 1%</t>
  </si>
  <si>
    <t>7.1.11</t>
  </si>
  <si>
    <t>Завершено строительство и реконструкция (модернизация) объектов питьевого водоснабжения и водоподготовки, предусмотренных региональными программами, нарастающим итогом</t>
  </si>
  <si>
    <t>7.4.2.4</t>
  </si>
  <si>
    <t>Количество аварий, срок устранения которых превышает 24 часа</t>
  </si>
  <si>
    <t>кол-во</t>
  </si>
  <si>
    <t>Государственная программа Мурманской области "Здравоохранение"</t>
  </si>
  <si>
    <t>Подпрограмма 2.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медицинской реабилитации и паллиативной помощи"</t>
  </si>
  <si>
    <t>Подпрограмма 7. "Управление системой здравоохранения, включая обеспечение реализации государственной программы"</t>
  </si>
  <si>
    <t>Подпрограмма 1. Модернизация системы социальной защиты населения Мурманской области</t>
  </si>
  <si>
    <t>Подпрограмма 3. Оказание мер социальной поддержки детям-сиротам, детям, оставшимся без попечения родителей, лицам из числа указанной категории детей, а также гражданам, желающим взять детей на воспитание в семью</t>
  </si>
  <si>
    <t>Подпрограмма 1 "Развитие массового спорта, реализация мероприятий по информированию граждан"</t>
  </si>
  <si>
    <t>Подпрограмма 2 "Подготовка спортивного резерва", реализация спортивного плана  официальныз спортивных меропиятий и спорт.мероприятий Мурманской области</t>
  </si>
  <si>
    <t>Подпрограмма 3 "Развитие спортивной инфраструктуры"</t>
  </si>
  <si>
    <t>Министерство спорта МО</t>
  </si>
  <si>
    <t>Государственная программа Мурманской области "Культура"</t>
  </si>
  <si>
    <t>Подпрограмма 2 «Модернизация системы государственных и муниципальных библиотек  и развитие литературного творчества в Мурманской области»</t>
  </si>
  <si>
    <t>Подпрограмма 3 «Развитие искусства, творческого потенциала и организация досуга населения»</t>
  </si>
  <si>
    <t>Подпрограмма 4 «Обеспечение реализации государственной программы»</t>
  </si>
  <si>
    <t>Подпрограмма 1 «Содействие занятости населения Мурманской области»</t>
  </si>
  <si>
    <t>Подпрограмма 2 «Оказание содействия добровольному переселению в Мурманскую область соотечественников, проживающих за рубежом»</t>
  </si>
  <si>
    <t>Подпрограмма 3 «Улучшение условий и охраны труда в Мурманской области»</t>
  </si>
  <si>
    <t>Подпрограмма 1. «Жилье»</t>
  </si>
  <si>
    <t>Подпрограмма 2 «Формирование комфортной городской среды»</t>
  </si>
  <si>
    <t>Подпрограмма 3 «Сокращение непригодного для проживания жилищного фонда»</t>
  </si>
  <si>
    <t>Подпрограмма 5 «Обеспечение осуществления государственного контроля (надзора) в жилищно-коммунальной сфере»</t>
  </si>
  <si>
    <t>Подпрограмма 1 «Профилактика правонарушений»</t>
  </si>
  <si>
    <t>Подпрограмма 2 «Обеспечение пожарной безопасности»</t>
  </si>
  <si>
    <t>Подпрограмма 3 «Обеспечение защиты населения и территорий от чрезвычайных ситуаций»</t>
  </si>
  <si>
    <t>Подпрограмма 4 "Обеспечение реализации государственной программы"</t>
  </si>
  <si>
    <t>МПР МО, предприятия и организации АПК, КФХ, кооперативы</t>
  </si>
  <si>
    <t>Подпрограмма 2 «Развитие рыбохозяйственного комплекса»</t>
  </si>
  <si>
    <t>Подпрограмма 3 "Обеспечение эпизоотического благополучия региона и защиты населения от болезней, общих для человека и животных"</t>
  </si>
  <si>
    <t>Подпрограмма 4 «Обеспечение эффективности деятельности исполнительных органов государственной власти Мурманской области в сфере реализации государственной программы»</t>
  </si>
  <si>
    <t xml:space="preserve">Комитет по ветеринарии МО      </t>
  </si>
  <si>
    <t>Подпрограмма 1 "Автомобильные дороги Мурманской области"</t>
  </si>
  <si>
    <t>Подпрограмма 2 "Организация транспортного обслуживания населения на территории Мурманской области"</t>
  </si>
  <si>
    <t>Государственная программа Мурманской области "Экономический потенциал"</t>
  </si>
  <si>
    <t>Подпрограмма 1. Создание условий для привлечения инвестиций, развития и модернизации промышленного комплекса, повышения конкурентоспособности производства (деятельности)</t>
  </si>
  <si>
    <t xml:space="preserve">Государственная программа Мурманской области "Информационное общество" </t>
  </si>
  <si>
    <t>Подпрограмма 1 "Развитие информационного общества и  внедрение цифровых технологий"</t>
  </si>
  <si>
    <t>Подпрограмма 2 "Цифровая трансформация форматов взаимодействия населения Мурманской области и  исполнительных органов государственной власти, и органов местного самоуправления Мурманской области"</t>
  </si>
  <si>
    <t>Подпрограмма 1 «Управление региональными финансами»</t>
  </si>
  <si>
    <t>Подпрограмма 2 «Создание условий для сбалансированного и устойчивого исполнения местных бюджетов, содействие повышению качества управления муниципальными финансами»</t>
  </si>
  <si>
    <t>Подпрограмма 3 «Организация и осуществление контроля и надзора в бюджетно-финансовой сфере и в сфере закупок товаров, работ, услуг для государственных и муниципальных нужд»</t>
  </si>
  <si>
    <t>Подпрограмма 4 «Развитие системы управления государственными закупками Мурманской области, закупками отдельных видов юридических лиц»</t>
  </si>
  <si>
    <t>Подпрограмма 1 "Создание условий для обеспечения государственного управления"</t>
  </si>
  <si>
    <t>Подпрограмма 2 "Управление государственным имуществом Мурманской области"</t>
  </si>
  <si>
    <t>Подпрограмма 3 «Укрепление единства российской нации, развитие гражданского общества и сохранение  этнокультурного многообразия  в Мурманской области»</t>
  </si>
  <si>
    <t>Подпрограмма 4 "Развитие института мировой юстиции в Мурманской области"</t>
  </si>
  <si>
    <t xml:space="preserve">Подпрограмма 5 «Создание условий для позиционирования  Мурманской области как ключевой территории опережающего развития в Арктической зоне Российской Федерации и повышения информационной открытости исполнительных органов государственной власти Мурманской области» </t>
  </si>
  <si>
    <t>9.4</t>
  </si>
  <si>
    <t>Подпрограмма 1 "Развитие агропромышленного комплекса"</t>
  </si>
  <si>
    <t>Подпрограмма "Развитие дошкольного и общего образования"</t>
  </si>
  <si>
    <t>Школа по улице Советская в городе Мурманске</t>
  </si>
  <si>
    <t>Министерство строительства Мурманской области, АМО г. Мурманск</t>
  </si>
  <si>
    <t>Школа по переулку Казарменному в городе Мурманске</t>
  </si>
  <si>
    <t>Минстрой МО, ГОКУ «УКС МО»</t>
  </si>
  <si>
    <t>Государственная программа "Культура"</t>
  </si>
  <si>
    <t>Подпрограмма "Жилье"</t>
  </si>
  <si>
    <t>Подпрограмма "Формирование комфортной городской среды"</t>
  </si>
  <si>
    <t>Жилой дом в г.п. Умба
Терского района Мурманской области</t>
  </si>
  <si>
    <t>Жилой дом в г. Мурманске по ул. Павлова</t>
  </si>
  <si>
    <t>Жилой дом в г.п. Зеленоборский
Кандалакшского района Мурманской области</t>
  </si>
  <si>
    <t>Минтранс МО</t>
  </si>
  <si>
    <t>Государственная программа Мурманской области "Природные ресурсы и экология"</t>
  </si>
  <si>
    <t>1.1.</t>
  </si>
  <si>
    <t>1.2.</t>
  </si>
  <si>
    <t>1.3.</t>
  </si>
  <si>
    <t>1.4.</t>
  </si>
  <si>
    <t>1.5.</t>
  </si>
  <si>
    <t>1.6.</t>
  </si>
  <si>
    <t>Государственная программа Мурманской области "Здравоохранение" (Минздрав МО)</t>
  </si>
  <si>
    <t>Государственная программа Мурманской области"Образование и наука" (Минобр МО)</t>
  </si>
  <si>
    <t>Государственная программа Мурманской области "Физическая культура и спорт"  (Минспорт МО)</t>
  </si>
  <si>
    <t>Государственная программа Мурманской области "Культура" (Минкульт МО)</t>
  </si>
  <si>
    <t>Государственная программа Мурманской области "Природные ресурсы и экология" (Минприроды МО)</t>
  </si>
  <si>
    <t>Государственная программа Мурманской области "Развитие транспортной системы" (Минтранс МО)</t>
  </si>
  <si>
    <t>Государственная программа Мурманской области "Экономический потенциал" (МинАрктики МО)</t>
  </si>
  <si>
    <t xml:space="preserve">Государственная программа Мурманской области "Информационное общество" (Минцифра МО) </t>
  </si>
  <si>
    <t>Доля твердых коммунальных отходов, направленных на захоронение, в том числе прошедших обработку (сортировку) в общей массе образованных твердых коммунальных отходов, убывающий</t>
  </si>
  <si>
    <t>Подпрограмма 2. "Развитие рыб хозяйственного комплекса"</t>
  </si>
  <si>
    <t>Государственная программа Мурманской области "Образование и наука"</t>
  </si>
  <si>
    <t>Министерство спорта МО и подведомственные Минспорту МО организации</t>
  </si>
  <si>
    <t>Достижение Мурманской областью категории кредитного рейтинга по национальной шкале для Российской Федерации не ниже категории "А"</t>
  </si>
  <si>
    <t>Отношение дефицита областного бюджета к общему годовому объему доходов областного бюджета без учета объема безвозмездных поступлений в отчетном финансовом году</t>
  </si>
  <si>
    <t>Степень качества управления региональными финансами, присвоенная Мурманской области Министерством финансов Российской Федерации</t>
  </si>
  <si>
    <t xml:space="preserve">Подпрограмма 3. Развитие туризма </t>
  </si>
  <si>
    <t>Подпрограмма 5. Обеспечение реализации государственной программы</t>
  </si>
  <si>
    <t>Отношение объема государственного долга Мурманской области по состоянию на 1 января года, следующего за отчетным, к общему годовому объему доходов бюджета Мурманской области в отчетном финансовом году (без учета объемов безвозмездных поступлений)</t>
  </si>
  <si>
    <t>Государственная программа Мурманской области "Социальная поддержка"</t>
  </si>
  <si>
    <t>Государственная программа Мурманской области "Физическая культура и спорт"</t>
  </si>
  <si>
    <t>Государственная программа Мурманской области "Занятость и труд"</t>
  </si>
  <si>
    <t>Государственная программа Мурманской области "Комфортное жилье и городская среда"</t>
  </si>
  <si>
    <t>Государственная программа Мурманской области "Общественная безопасность"</t>
  </si>
  <si>
    <t xml:space="preserve">Государственная программа Мурманской области "Рыбное и сельское хозяйство"
</t>
  </si>
  <si>
    <t>Государственная программа Мурманской области  "Финансы"</t>
  </si>
  <si>
    <t>Государственная программа Мурманской области "Социальная поддержка" (Министерство труда и соцразвития МО)</t>
  </si>
  <si>
    <t>Государственная программа Мурманской области "Занятость и труд" (Министерство труда и соцразвития МО)</t>
  </si>
  <si>
    <t>Государственная программа Мурманской области "Комфортное жилье и городская среда" (Минстрой МО)</t>
  </si>
  <si>
    <t>Государственная программа Мурманской области "Формирование современной городской среды Мурманской области" (Минград МО)</t>
  </si>
  <si>
    <t>Государственная программа Мурманской области "Общественная безопасность" (Комитет ОБН МО)</t>
  </si>
  <si>
    <t>Государственная программа Мурманской области "Рыбное и сельское хозяйство" (Минприроды МО)</t>
  </si>
  <si>
    <t>Государственная программа Мурманской области  "Финансы" (Минфин МО)</t>
  </si>
  <si>
    <t>Государственная программа Мурманской области "Государственное управление и гражданское общество" (Аппарат ПМО)</t>
  </si>
  <si>
    <t xml:space="preserve">Активизация инвесторов по запуску инвестиционных проектов и получению статуса резидента АЗРФ и ТОР, опережающий рост инвестиций
</t>
  </si>
  <si>
    <t xml:space="preserve">Активизация инвесторов по запуску инвестиционных проектов и получению статуса резидента АЗРФ и ТОР, опережающий рост создания новых рабочих мест
</t>
  </si>
  <si>
    <t>Интегральный индекс Мурманской области в Национальном рейтинге состояния инвестиционного климата в субъектах Российской Федерации (нарастающим итогом с 2020 года)</t>
  </si>
  <si>
    <t>Доля субъектов малого и среднего предпринимательства и самозанятых граждан в общей численности занятого населения</t>
  </si>
  <si>
    <t>Темп роста оборота продукции (услуг), производимых средними и малыми предприятиями, в том числе микропредприятиями и индивидуальными предпринимателями</t>
  </si>
  <si>
    <t>Подпрограмма 4. Развитие международных и внешнеэкономических связей, приграничного, межрегионального сотрудничества</t>
  </si>
  <si>
    <t>Доля граждан, охваченных государственной социальной помощью на основании социального контракта, в общей численности малоимущих граждан</t>
  </si>
  <si>
    <t>Министерство труда и социального развития МО, государственные областные учреждения, подведомственные Министерству труда и социального развития МО, Министерство строительства МО, ГОКУ "Управление капитального строительства Мурманской области"</t>
  </si>
  <si>
    <t>Министерство труда и социального развития МО, Министерство здравоохранения МО, Министерство культуры МО, государственные областные учреждения, подведомственные Министерству труда и социального развития МО, государственные областные учреждения культуры МО, ГОАУК "Мурманский областной Дворец культуры им. С.М. Кирова", государственные областные учреждения здравоохранения, Территориальный фонд обязательного медицинского страхования Мурманской области</t>
  </si>
  <si>
    <t xml:space="preserve">Министерство образования и науки МО, Министерство культуры МО, органы местного самоуправления, ГОБУ МО "Центр психолого-педагогической, медицинской и социальной помощи", ГАУДО МО "МОЦДО "Лапландия", центры помощи детям, оставшимся без попечения родителей, ГАПОУ МО, ГОБПОУ "Мурманский колледж искусств"  </t>
  </si>
  <si>
    <t xml:space="preserve">Министерство труда и социального развития МО; государственные областные учреждения, подведомственные Министерству труда и социального развития МО </t>
  </si>
  <si>
    <t>Министерство труда и социального развития МО, Министерство строительства МО, Министерство здравоохранения МО, Министерство образования и науки МО, Министерство культуры МО</t>
  </si>
  <si>
    <t>Министерство культуры МО; государственные областные учреждения культуры и искусства, образования в сфере культуры и искусства</t>
  </si>
  <si>
    <t>Оценка эффективности реализации государственных программ Мурманской области в 2022 году</t>
  </si>
  <si>
    <t>Реконструкция объекта культурного наследия регионального значения «Здание первого хибиногорского кинотеатра «Большевик» в городе Кировске в целях приспособления для современного использования в качестве кино-культурного центра</t>
  </si>
  <si>
    <t>Министерство строительства  МО, администрация муниципального образования муниципальный округ г. Кировск с подведомственной территорией</t>
  </si>
  <si>
    <t>Министерство строительства Мурманской области; ГОКУ «Управление капитального строительства Мурманской области»; ГОАУК «Мурманский областной Дворец культуры и народного творчества им. С.М. Кирова»</t>
  </si>
  <si>
    <t>Министерство труда и социального развития МО, Министерство здравоохранения МО, ГОБУ ЦЗН г. Мурманска</t>
  </si>
  <si>
    <t>Министерство труда и социального развития МО, ГУ - Мурманское региональное отделение Фонда социального страхования РФ</t>
  </si>
  <si>
    <t>Подпрограмма 1. Содействие занятости населения Мурманской области</t>
  </si>
  <si>
    <t>Подпрограмма 2. Оказание содействия добровольному переселению в Мурманскую область соотечественников, проживающих за рубежом</t>
  </si>
  <si>
    <t>Подпрограмма 3. Улучшение условий и охраны труда в Мурманской области</t>
  </si>
  <si>
    <t>Подпрограмма 1. Профилактика правонарушений</t>
  </si>
  <si>
    <t>Подпрограмма 2. Обеспечение пожарной безопасности, защиты населения и территорий от чрезвычайных ситуаций</t>
  </si>
  <si>
    <t>Подпрограмма 3. Обеспечение гражданской обороны</t>
  </si>
  <si>
    <t>Министерство региональной безопасности МО, Министерство здравоохранения МО, ГОКУ "Управление ГОЧС и ПБ МО"</t>
  </si>
  <si>
    <t>Министерство региональной безопасности МО</t>
  </si>
  <si>
    <t>МПР МО, Государственные областные казенные учреждения в области лесных отношений, охраны окружающей среды</t>
  </si>
  <si>
    <t>МПР МО, 
администрация муниципального образования Пушной Кольского района</t>
  </si>
  <si>
    <t>МПР МО, ГОБУ "Мурманская база авиационной охраны лесов", лесопользователи</t>
  </si>
  <si>
    <t>МПР МО</t>
  </si>
  <si>
    <t>МПР МО, Минэнерго и ЖКХ МО, муниципальные образования МО</t>
  </si>
  <si>
    <t xml:space="preserve">Подпрограмма 1. Развитие агропромышленного комплекса
</t>
  </si>
  <si>
    <t>Подпрограмма 2. Развитие рыбохозяйственного комплекса</t>
  </si>
  <si>
    <t>МПР МО, предприятия рыбохозяйственного комплекса МО</t>
  </si>
  <si>
    <t>Подпрограмма 3. Обеспечение эпизоотического благополучия региона и защиты населения от болезней, общих для человека и животных</t>
  </si>
  <si>
    <t>Подпрограмма 4. Обеспечение эффективности деятельности исполнительных органов государственной власти Мурманской области в сфере реализации государственной программы</t>
  </si>
  <si>
    <t>Подпрограмма 5. Комплексное развитие сельских территорий</t>
  </si>
  <si>
    <t>Подпрограмма 1. Автомобильные дороги Мурманской области</t>
  </si>
  <si>
    <t>Подпрограмма 2. Организация транспортного обслуживания населения на территории Мурманской области</t>
  </si>
  <si>
    <t>Министерство транспорта и дорожного хозяйства МО, ГОКУ Мурманскавтодор</t>
  </si>
  <si>
    <t>Подпрограмма 1. Развитие информационного общества и  внедрение цифровых технологий</t>
  </si>
  <si>
    <t>Подпрограмма 2. Цифровая трансформация форматов взаимодействия населения Мурманской области и  исполнительных органов государственной власти, и органов местного самоуправления Мурманской области</t>
  </si>
  <si>
    <t>Подпрограмма 1. Управление региональными финансами</t>
  </si>
  <si>
    <t>Министерство финансов МО</t>
  </si>
  <si>
    <t>Подпрограмма 2. Создание условий для сбалансированного и устойчивого исполнения местных бюджетов, содействие повышению качества управления муниципальными финансами</t>
  </si>
  <si>
    <t>Подпрограмма 3. Организация и осуществление контроля и надзора в бюджетно-финансовой сфере и в сфере закупок товаров, работ, услуг для государственных и муниципальных нужд</t>
  </si>
  <si>
    <t>Комитет государственного и финансового контроля МО</t>
  </si>
  <si>
    <t>Министерство финансов МО, Комитет государственного и финансового контроля МО, Комитет по конкурентной политике МО</t>
  </si>
  <si>
    <t>Подпрограмма 1. Создание условий для обеспечения государственного управления</t>
  </si>
  <si>
    <t>Подпрограмма 2. Управление государственным имуществом Мурманской области</t>
  </si>
  <si>
    <t>Подпрограмма 3. Укрепление единства российской нации, развитие гражданского общества и сохранение  этнокультурного многообразия  в Мурманской области</t>
  </si>
  <si>
    <t>Подпрограмма 4. Развитие института мировой юстиции в Мурманской области</t>
  </si>
  <si>
    <t>Подпрограмма 5. Создание условий для позиционирования  Мурманской области как ключевой территории опережающего развития в Арктической зоне Российской Федерации и повышения информационной открытости исполнительных органов государственной власти Мурманской области</t>
  </si>
  <si>
    <t>Подпрограмма 2. Развитие дошкольного и общего образования</t>
  </si>
  <si>
    <t>Подпрограмма 3. Развитие дополнительного образования детей</t>
  </si>
  <si>
    <t>Подпрограмма 4. Совершенствование управления системой образования</t>
  </si>
  <si>
    <t>Министерство образования и науки МО, Министерство строительства МО, Министерство культуры МО, профессиональные образовательные организации, подведомственные государственные областные образовательные организации, муниципальные органы, осуществляющие управление в сфере образования, ОМСУ, образовательные организации, ФГАОУ ВО "МГТУ", ФГБОУ ВО "МАГУ", ФИЦ КНЦ РАН, вузы , АНО "Проектный офис "Арктический элемент", АНО "Проектный офис "Губернаторский лицей", ГАУ ДПО МО "ИРО", ГАНОУ МО "ЦО Лапландия", ГАУ МО "ЦКО", ГОБОУДО МОЗСООПЦ "Гандвиг", ГОКУ "УКС МО"</t>
  </si>
  <si>
    <t>Подпрограмма 1. Профилактика заболеваний и формирование здорового образа жизни. Развитие первичной медико-санитарной помощи</t>
  </si>
  <si>
    <t>Подпрограмма 2.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медицинской реабилитации и паллиативной помощи</t>
  </si>
  <si>
    <t>Подпрограмма 3. Охрана здоровья матери и ребенка</t>
  </si>
  <si>
    <t>Подпрограмма 4. Развитие инфраструктуры системы здравоохранения</t>
  </si>
  <si>
    <t>Подпрограмма 5. Кадровое обеспечение системы здравоохранения</t>
  </si>
  <si>
    <t>Подпрограмма 6. Развитие информатизации в здравоохранении</t>
  </si>
  <si>
    <t>Подпрограмма 7. Управление системой здравоохранения, включая обеспечение реализации государственной программы</t>
  </si>
  <si>
    <t>Подпрограмма 1. Развитие массового спорта, реализация мероприятий по профилактике терроризма и информированию граждан</t>
  </si>
  <si>
    <t>Подпрограмма 2. Подготовка спортивного резерва, реализация календарного плана официальных физкультурных мероприятий и спортивных мероприятий Мурманской области</t>
  </si>
  <si>
    <t>Подпрограмма 3. Развитие спортивной инфраструктуры</t>
  </si>
  <si>
    <t>Министерство спорта МО  и Минстрой МО</t>
  </si>
  <si>
    <t>Подпрограмма 1. Жилье</t>
  </si>
  <si>
    <t>Минград МО, Минстрой МО, Минфин МО, Минтранс МО, Минэнерго и ЖКХ МО, ГОКУ "УКС МО", ГОАУ "Управление государственной экспертизы МО", муниципальное образование г. Мурманск</t>
  </si>
  <si>
    <t>Подпрограмма 2. Формирование комфортной городской среды</t>
  </si>
  <si>
    <t>Подпрограмма 3. Сокращение непригодного для проживания жилищного фонда</t>
  </si>
  <si>
    <t xml:space="preserve">Минстрой МО, муниципальные образования МО, ГОКУ "УКС МО" </t>
  </si>
  <si>
    <t>Минэнерго и ЖКХ МО, Минимущества МО, муниципальные образования МО, РСО, инвесторы, ГОКУ "АЭЭМО", АО "Апатитыводоканал"</t>
  </si>
  <si>
    <t>Подпрограмма 5. Обеспечение осуществления государственного контроля (надзора) в жилищно-коммунальной сфере</t>
  </si>
  <si>
    <t>Министерство государственного жилищного и строительного надзора МО</t>
  </si>
  <si>
    <t>Минстрой МО, Минэнерго и ЖКХ МО, НКО"ФКР МО", АНО"Центр содействия жилищному строительству" ГОКУ "УКС МО"</t>
  </si>
  <si>
    <t>Минстрой МО, Минэнерго и ЖКХ МО, Минтранс МО, Минфин МО,  ГЖИ МО, ГОКУ "УКС", ГОУП "Мурманскводоканал", муниципальные образования мо</t>
  </si>
  <si>
    <t>Министерство культуры МО, Министерство строительства МО, администрации муниципальных образований МО; государственные областные учреждения культуры и искусства</t>
  </si>
  <si>
    <t>Министерство культуры МО, Министерство строительства  МО, ГОАУК "Мурманский областной краеведческий музей", ГОАУК "Мурманский областной художественный музей", ГОКУ "Государственный архив Мурманской области", ГОКУ "Государственный архив Мурманской области в г. Кировске", ГОКУ "Управление капитального строительства Мурманской области", администрации муниципальных образований Мурманской области</t>
  </si>
  <si>
    <t>Министерство культуры МО, Министерство строительства МО, ГОКУ "Управление капитального строительства МО", ГОБУК "Мурманская государственная областная универсальная научная библиотека", ГОБУК "Мурманская областная детско-юношеская библиотека", ГОБУК "Мурманская государственная областная специальная библиотека для слепых и слабовидящих", администрации муниципальных образований МО</t>
  </si>
  <si>
    <t>Подпрограмма 2. Модернизация системы государственных и муниципальных библиотек  и развитие литературного творчества в Мурманской области</t>
  </si>
  <si>
    <t>Подпрограмма 3. Развитие искусства, творческого потенциала и организация досуга населения</t>
  </si>
  <si>
    <t>Подпрограмма 4. Развитие системы управления государственными закупками Мурманской области, закупками отдельных видов юридических лиц</t>
  </si>
  <si>
    <t>Министерство региональной безопасности МО, Министерство труда и социального развития МО, Министерство строительства МО, Министерство цифрового развития МО,  ГОКУ "Управление ГОЧС и ПБ МО", ГОКУ "УКС МО"</t>
  </si>
  <si>
    <t>1.4.6</t>
  </si>
  <si>
    <t xml:space="preserve">Количество приобретенного медицинского оборудования и медицинских изделий
</t>
  </si>
  <si>
    <t>2.1.7</t>
  </si>
  <si>
    <t>2.3.8</t>
  </si>
  <si>
    <t>Данный показатель зависит от результативности спортсменов и выполнения ими критериев для включения в сборные команды страны</t>
  </si>
  <si>
    <t>Доля граждан в возрасте 6-15 лет, занимающихся в спортивных организациях, в общей численности детей и молодежи в возрасте 6-15 лет</t>
  </si>
  <si>
    <t>7.1.10</t>
  </si>
  <si>
    <t xml:space="preserve">Количество молодых семей, достигших 36 лет, получивших свидетельства о праве на получение социальной выплаты на приобретение (строительство) жилого помещения
</t>
  </si>
  <si>
    <t>7.1.13</t>
  </si>
  <si>
    <t>Количество семей, получивших дополнительные меры поддержки</t>
  </si>
  <si>
    <t>7.1.15</t>
  </si>
  <si>
    <t xml:space="preserve">Обеспечение получателем субсидии потребности населения Мурманской области в сжиженном газе для бытовых нужд по утвержденным розничным ценам, возникающим в результате утверждения Комитетом по тарифному регулированию Мурманской области тарифов на сжиженный газ
</t>
  </si>
  <si>
    <t xml:space="preserve">Обеспечение получателем субсидии потребности населения на изолированных территориях Мурманской области в электрической энергии по утвержденным Комитетом по тарифному регулированию Мурманской области ценам (тарифам)
</t>
  </si>
  <si>
    <t>Повысить эффективность проведения информационно-пропагандистских мероприятий</t>
  </si>
  <si>
    <t xml:space="preserve">Министерство региональной безопасности МО
</t>
  </si>
  <si>
    <t>Снижение количества преступлений и правонарушений экстремистского и террористического характера обусловлено повышением эффективности профилактических мероприятий, проводимых в рамках госпрограммы.</t>
  </si>
  <si>
    <t>Повышение эффективности профилактических мероприятий за счет увеличения охвата целевой аудитории.</t>
  </si>
  <si>
    <t>9.2.3</t>
  </si>
  <si>
    <t>9.2.4</t>
  </si>
  <si>
    <t>9.2.5</t>
  </si>
  <si>
    <t>9.2.6</t>
  </si>
  <si>
    <t xml:space="preserve">Перевод в цифровой формат информационного взаимодействия органов повседневного управления территориальной подсистемы РСЧС
</t>
  </si>
  <si>
    <t xml:space="preserve">Доведение уровня объема фактически заложенных в резерв материальных ресурсов до нормативных показателей
</t>
  </si>
  <si>
    <t>9.3.2</t>
  </si>
  <si>
    <t xml:space="preserve">Количество должностных лиц, прошедших обучение по программам дополнительного профессионального образования в области гражданской обороны в учебно-методическом центре
</t>
  </si>
  <si>
    <t xml:space="preserve">Обеспечение реализации специальной меры в сфере экономики и отдельных мероприятий по обеспечению призыва граждан на военную службу по мобилизации в Вооруженные Силы Российской Федерации
</t>
  </si>
  <si>
    <t>0 - нет,            1 - да</t>
  </si>
  <si>
    <t>Дикий северный олень включён в красную книгу РФ и МО</t>
  </si>
  <si>
    <t>Отклонение значения показателя объясняется слабо развитой дорожной сетью, малодоступными участками, небольшой плотностью населения, расторжением договоров</t>
  </si>
  <si>
    <t xml:space="preserve">Сокращение объемов производства рыбной продукции, обусловленное уменьшением объемов вылова водных биоресурсов из-за сокращения квот добычи (вылова) трески и пикши в районе регулирования СРНК </t>
  </si>
  <si>
    <t>Изменение объема  предоставленных в пользование водных биоресурсов связано с  заявленными объемами добычи водных биоресурсов пользователями</t>
  </si>
  <si>
    <t xml:space="preserve">Благодаря проведению регулярной и эффективной работе по отлову животных без владельцев на территориях населенных пунктов, а также разъяснительной работе с населением, отмечается положительная тенденция снижения количества пострадавших граждан от покусов животными, в том числе животными без владельцев </t>
  </si>
  <si>
    <t>Протяженность приведенных в нормативное состояние искусственных сооружений на автомобильных дорогах регионального или межмуниципального и местного значения (накопленным итогом)</t>
  </si>
  <si>
    <t>Труднопрогнозируемый показатель</t>
  </si>
  <si>
    <t>Доля гражданских служащих, получивших дополнительное профессиональное образование или участвовавших в иных мероприятиях профессионального развития, от общей численности гражданских служащих исполнительных органов  Мурманской области</t>
  </si>
  <si>
    <t>Доля поручений и указаний Президента Российской Федерации и Правительства Российской Федерации, Губернатора Мурманской области и Правительства Мурманской области, находящихся на контроле, исполненных исполнительными органами Мурманской области в установленный срок, в общем количестве таких поручений, находящихся на контроле</t>
  </si>
  <si>
    <t>Министерство внутренней политики МО</t>
  </si>
  <si>
    <t>Комитет молодежной политики МО</t>
  </si>
  <si>
    <t>Количество участников мероприятий, направленных на укрепление общероссийского гражданского единства</t>
  </si>
  <si>
    <t>тыс. человек</t>
  </si>
  <si>
    <t xml:space="preserve">Численность участников мероприятий, направленных на этнокультурное развитие народов России
</t>
  </si>
  <si>
    <t xml:space="preserve">Доля граждан, не испытывающих негативного отношения к иностранным гражданам, в общей численности опрошенных граждан региона
</t>
  </si>
  <si>
    <t xml:space="preserve">Доля членов казачьих обществ, принявших на себя обязательства по несению государственной или иной службы, от общего числа членов казачьих обществ
</t>
  </si>
  <si>
    <t>Средняя</t>
  </si>
  <si>
    <t>Низкая</t>
  </si>
  <si>
    <t>Ниже среднего</t>
  </si>
  <si>
    <t>Высокая</t>
  </si>
  <si>
    <t>К1 (степень достижения показателей)</t>
  </si>
  <si>
    <t>К2 (динамика значений показателей)</t>
  </si>
  <si>
    <t>К3 (степень выполнения мероприятий)</t>
  </si>
  <si>
    <t>ЭГП (интегральный показатель эффективности)</t>
  </si>
  <si>
    <t>Оценка</t>
  </si>
  <si>
    <t>Государственная программа "Развитие транспортной системы"</t>
  </si>
  <si>
    <t>Приложение №2</t>
  </si>
  <si>
    <t xml:space="preserve">Государственная программа "Здравоохранение" </t>
  </si>
  <si>
    <t>2020 - 2021 разработка ПСД, 2022-2024 - строительство</t>
  </si>
  <si>
    <t>Строительство поликлиники ГОБУЗ «Кандалакшская ЦРБ» (г. Кандалакша, ул. Данилова)</t>
  </si>
  <si>
    <t>Реконструкция здания детской поликлиники ГОБУЗ "Кольская ЦРБ" (Мурманская область, г. Кола, пер. Островский, 12)</t>
  </si>
  <si>
    <t>Министерство здравоохранения Мурманской области, ГОБУЗ "Кольская ЦРБ"</t>
  </si>
  <si>
    <t>Государственная программа  "Образование и наука"</t>
  </si>
  <si>
    <t>2020 - разработка ПСД, 2021 - 2024 - СМР</t>
  </si>
  <si>
    <t>Министерство строительства Мурманской области, ГОКУ УКС МО</t>
  </si>
  <si>
    <t>цена будет определена после получения экспертизы</t>
  </si>
  <si>
    <t>Государственная программа "Физическая культура и спорт"</t>
  </si>
  <si>
    <t>Подпрограмма "Наследие"</t>
  </si>
  <si>
    <t>Реконструкция здания государственного областного бюджетного учреждения культуры "Мурманский областной краеведческий музей"</t>
  </si>
  <si>
    <t>Минстрой МО, ГОКУ "УКС", ГОАУК "МОКМ"</t>
  </si>
  <si>
    <t>Подпрограмма "Развитие искусства, творческого потенциала и организация досуга населения"</t>
  </si>
  <si>
    <t>Государственная программа"Комфортное жилье и городская среда"</t>
  </si>
  <si>
    <t xml:space="preserve">Жилые дома в г. Мурманске на ул. Бондарной 
</t>
  </si>
  <si>
    <t>224363,84 (на основании укрупненного норматива)</t>
  </si>
  <si>
    <t>Строительство жилого дома в г. Мурманске по ул. Павлова, земельный участок №  51:20:0002014:1233</t>
  </si>
  <si>
    <t>Минстрой МО,
ГОКУ «УКС МО»</t>
  </si>
  <si>
    <t>Региональный проект "Чистая вода"</t>
  </si>
  <si>
    <t xml:space="preserve">2019 - 2027 гг. строительство:
2019 - 2021 - 1 этап,
2022 - 2025 - 2, 3 этапы.
Ввод объекта в эксплуатацию в 2025 году
</t>
  </si>
  <si>
    <t xml:space="preserve">Строительство городского кладбища на 7 - 8 км автодороги Кола - Мурмаши, участок "Сангородок у кедра" (2-й участок площадью 16,0 га)
</t>
  </si>
  <si>
    <t>Подпрограмма «Сокращение непригодного для проживания жилищного фонда»</t>
  </si>
  <si>
    <t>Жилой дом в г. Мурманске по ул. Полярные Зори</t>
  </si>
  <si>
    <t>Жилые дома в г. Мурманске на ул. Бондарной. Этап 1 - Жилой дом в городе Мурманске по улице Бондарной. ГП-1.1</t>
  </si>
  <si>
    <t>Жилой дом в п.г.т. Зеленоборский Кандалакшского района Мурманской области по ул. Полярной</t>
  </si>
  <si>
    <t>Жилой дом в г. Мурманске по ул. Зеленой</t>
  </si>
  <si>
    <t>Подпрограмма «Обеспечение устойчивой деятельности топливно-энергетического комплекса Мурманской области и повышения энергетической эффективности»</t>
  </si>
  <si>
    <t>Реконструкция сетей водоснабжения, расположенных на западном берегу Кольского залива</t>
  </si>
  <si>
    <t>Развитие сетей водоснабжения на Западном берегу Кольского залива г.Мурманска, от точки присоединения к централизованной системе холодного водоснабжения ГОУП «Мурманскводоканал» в районе Комсомольской горки г. Кола до жилого района Дровяное г.Мурманска</t>
  </si>
  <si>
    <t>Минстрой МО, ГОКУ "УКС МО"</t>
  </si>
  <si>
    <t>Развитие сетей водоснабжения на западном берегу Кольского залива г. Мурманска, переходы водоводов  через р. Кола и Вересову губу Кольского залива</t>
  </si>
  <si>
    <t>Реконструкция (техническое перевооружение/модернизация) котельной "Северная" в связи с переводом на закрытую систему теплоснабжения Ленинского административного округа и мкр. Росляково г. Мурманска</t>
  </si>
  <si>
    <t>строительство - 2022 - 2024 годы</t>
  </si>
  <si>
    <t>Государственная программа "Природные ресурсы и экология "</t>
  </si>
  <si>
    <t>Подпрограмма "Обращение с отходами"</t>
  </si>
  <si>
    <t>Реконструкция автоподъезда к селу Териберка, км 10-20</t>
  </si>
  <si>
    <t xml:space="preserve">ГОКУ Мурманскавтодор
</t>
  </si>
  <si>
    <t>2022-2024</t>
  </si>
  <si>
    <t xml:space="preserve">Реконструкция мостового перехода через р. Эйнч на км 102+814 автомобильной дороги Кола - Серебрянские ГЭС с подъездами
</t>
  </si>
  <si>
    <t xml:space="preserve">Реконструкция мостового перехода через р. Кети на км 14+135 автоподъезда к населенному пункту Зареченск
</t>
  </si>
  <si>
    <t>2022-2023</t>
  </si>
  <si>
    <t>% к 2018 году</t>
  </si>
  <si>
    <t>Производство молока в сельскохозяйственных организациях, крестьянских (фермерских) хозяйствах, включая индивидуальных предпринимателей и граждан, ведущих личное подсобное хозяйство, применяющих специальный налоговый режим "Налог на профессиональный доход"</t>
  </si>
  <si>
    <t>Сельскохозяйственные товаропроизводители получили государственную поддержку на создание и развитие производств в АПК (количество сельскохозяйственных товаропроизводителей, получивших поддержку, в том числе в результате услуг, оказанных центрами компетенций в сфере сельскохозяйственной кооперации и поддержки фермеров, накопленным итогом)</t>
  </si>
  <si>
    <t>Поголовье северных оленей и маралов в сельскохозяйственных организациях, крестьянских (фермерских) хозяйствах, включая индивидуальных предпринимателей</t>
  </si>
  <si>
    <t>11.1.1</t>
  </si>
  <si>
    <t>МПР МО, АНО "Центр компетенций в сфере сельскохозяйственной кооперации и поддержки фермеров Мурманской области</t>
  </si>
  <si>
    <t>Превышение планируемого показателя обусловлено выпуском ценных видов водных биоресурсов в рамках компенсационных мероприятий</t>
  </si>
  <si>
    <t>Проведение активной разъяснительной работы с владельцами ЛПХ и рыбоводных хозяйств о мерах по профилактике возникновения заразных болезней животных</t>
  </si>
  <si>
    <t>Проведение анализа экономического развития сельхозпредприятий и личных подсобных хозяйств граждан</t>
  </si>
  <si>
    <t xml:space="preserve">Оперативное реагирование (мероприятия по отлову) организаций-подрядчиков на поступающую информацию о месте нахождения агрессивных животных без владельцев </t>
  </si>
  <si>
    <t>Минприроды МО, Минстрой МО</t>
  </si>
  <si>
    <t>Продолжить проведение регулярного мониторинга ведущих промышленных предприятий Мурманской области. 
Совершенствование мер государственной поддержки инвестиционной деятельности в регионе</t>
  </si>
  <si>
    <t xml:space="preserve">Активизация инвесторов по запуску инвестиционных проектов и получению статуса резидента АЗРФ и ТОР
</t>
  </si>
  <si>
    <t>Количество предприятий-участников, вовлеченных в национальный проект "Производительность труда" через получение адресной поддержки, нарастающим итогом</t>
  </si>
  <si>
    <t>Количество руководителей, обученных по программе управленческих навыков для повышения производительности труда, нарастающим итогом</t>
  </si>
  <si>
    <t>Место Мурманской области в рейтинге субъектов Российской Федерации по уровню развития сферы государственно-частного партнерства</t>
  </si>
  <si>
    <t>Министерство развития Арктики и экономики Мурманской области, Министерство цифрового развития Мурманской области, НМКК "ФОРМАП" (фонд), ГОБУ МРИБИ, ГОБУ "МФЦ МО", АНО по развитию конгрессно-выставочной, ярмарочной и информационной деятельности "Мурманконгресс", АНО "Центр поддержки экспорта Мурманской области", АНО  "Агентство по проведению спортивно-массовых и культурно-зрелищных мероприятий "СпортКульт51"</t>
  </si>
  <si>
    <t>Министерство труда и социального развития Мурманской области, ГОБУ ЦЗН МО, органы местного самоуправления</t>
  </si>
  <si>
    <t>Неполное освоение средств связано со снижением актуальности у соотечественников участия в Программе</t>
  </si>
  <si>
    <t>Министерство труда и социального развития Мурманской области, Министерство здравоохранения Мурманской области, Министерство образования и науки Мурманской области, Отделение Фонда пенсионного и социального страхования РФ по Мурманской области, ГОБУ ЦЗН Мурманской области, органы местного самоуправления</t>
  </si>
  <si>
    <t>Степень освоения средств более 100% обусловлена тем, что фактическое исполнение по ВБС превышает плановые значения (в ГП не внесены изменения). Высокое освоение средств ВБС связано с тем, что Министерством труда и социальной защиты РФ продлен срок подачи заявлений в Фонд пенсионного и социального страхования РФ и увеличен перечень мероприятий, на которые можно получить финансирование. Кроме того, работодатели, у которых не было вредных и опасных условий труда, имели возможность вернуть из фонда всю разрешенную сумму</t>
  </si>
  <si>
    <t>Подпрограмма 4 «Сопровождение инвалидов молодого возраста при получении ими профессионального образования и содействие в последующем трудоустройстве»</t>
  </si>
  <si>
    <t>15.1.5</t>
  </si>
  <si>
    <t xml:space="preserve">Внедрение и функционирование государственной информационной системы Мурманской области «Единая централизованная система управления финансово-хозяйственной деятельностью Мурманской области и кадровым составом государственной гражданской службы Мурманской области»
</t>
  </si>
  <si>
    <t>Положительная динамика обусловлена проведением ГОКУ "УЦЗ МО" детального анализа потребностей подведомственных заказчиков Минздрава МО на предмет объединения закупок в совместные торги</t>
  </si>
  <si>
    <t>Министерство региональной безопасности МО, Министерство информационной политики МО, Министерство образования и науки МО, Министерство культуры МО, органы местного самоуправления, УМВД России по Мурманской области</t>
  </si>
  <si>
    <t>Министерство региональной безопасности МО, Министерство информационной политики МО, Министерство образования и науки МО, Министерство культуры МО, Министерство труда и социального развития МО,  Министерство цифрового развития МО,  Министерство здравоохранения МО, ГОКУ "Управление по ГОЧС и ПБ Мурманской области", органы местного самоуправления, УМВД России по МО</t>
  </si>
  <si>
    <t>Продолжить проведение оперативно-профилактических мероприятий и работу по внедрению и развитию видеомониторинга в общественных местах и на улицах.</t>
  </si>
  <si>
    <t>Превышение планового значения показателя связано с заключением Соглашения об осуществлении информационного обмена по предупреждению и ликвидации чрезвычайных ситуаций  между Главным управлением МЧС России по Мурманской области и Министерством региональной безопасности Мурманской области, в рамках которого  к «личному кабинету ЕДДС» на региональном уровне подключены (зарегистрированы) имеющиеся 2 органа повседневного управления Мурманской территориальной подсистемы РСЧС</t>
  </si>
  <si>
    <t>Государственная программа Мурманской области "Общественная безопасность" (Минрегбез МО)</t>
  </si>
  <si>
    <t>Министерство цифрового развития МО, Министерство образования и науки МО, Министерство труда и социального развития МО, Министерство юстиции  МО</t>
  </si>
  <si>
    <t>Министерство цифрового развития МО, ГОБУ "ЦИТ МО"</t>
  </si>
  <si>
    <t>Министерство внутренней политики МО, Аппарат Правительства МО, Министерство спорта МО, Министерство строительства МО, Комитет молодежной политики МО, Центр народов Севера, ГОБУ МП, ГАУМО "ЦСП", ГОБУ "Управление по обеспечению деятельности Правительства МО",  ГОКУ "Управление капитального строительства МО", АНО по развитию конгрессно-выставочной, ярмарочной и информационной деятельности "Мурманконгресс", ГОБУ МП "Региональный центр развития добровольчества и поддержки молодежных движений", АНО "Агентство по проведению спортивно-массовых и культурно-зрелищных мероприятий "СпортКульт51"</t>
  </si>
  <si>
    <t>Министерство юстиции МО, ГОКУ "Центр обеспечения судебных участков мировых судей МО"</t>
  </si>
  <si>
    <t>Экономия средств в связи с заявительным характером выплат. Оплата произведена по фактической потребности</t>
  </si>
  <si>
    <t>Доля отрицательных экспертных заключений, по результатам рассмотрения которых органами местного самоуправления в муниципальных нормативных правовых актах устранены несоответствия законодательству (за отчетный период)</t>
  </si>
  <si>
    <t xml:space="preserve"> -</t>
  </si>
  <si>
    <t xml:space="preserve">Министерство внутренней политики МО                   </t>
  </si>
  <si>
    <t>Министерство имущественных отношений МО</t>
  </si>
  <si>
    <t>Аппарат Правительства МО</t>
  </si>
  <si>
    <t>Управление по реализации антикоррупционной политики МО</t>
  </si>
  <si>
    <t xml:space="preserve">Количество участников мероприятий, направленных на этнокультурное развитие коренных малочисленных народов Российской Федерации
</t>
  </si>
  <si>
    <t>66,28</t>
  </si>
  <si>
    <t>3.1.5</t>
  </si>
  <si>
    <t>Доля граждан старше трудоспособного возраста и инвалидов, получающих услуги в рамках системы долговременного ухода, от общего числа граждан старшего трудоспособного возраста и инвалидов, нуждающихся в долговременном уходе</t>
  </si>
  <si>
    <t>Введение новых мер социальной поддержки</t>
  </si>
  <si>
    <t xml:space="preserve">Обеспечение граждан слуховыми аппаратами носит заявительный характер, осуществляется  в соответствии с фактической численностью обратившихся граждан </t>
  </si>
  <si>
    <t>3.3.7</t>
  </si>
  <si>
    <t>Количество семей отдельных категорий граждан Российской Федерации, обеспеченных жильем</t>
  </si>
  <si>
    <t>тысяча семей</t>
  </si>
  <si>
    <t>Некоторые мероприятия носят заявительный характер, в связи с чем не выполнены или выполнены частично</t>
  </si>
  <si>
    <t>Уровень обеспеченности субъектов Российской Федерации организациями культуры</t>
  </si>
  <si>
    <t>Количество созданных (реконструированных) и капитально отремонтированных объектов организаций культуры</t>
  </si>
  <si>
    <t>Количество организаций культуры, получивших современное оборудование</t>
  </si>
  <si>
    <t>Отношение средней заработной платы работников учреждений культуры к
среднемесячной начисленной заработной плате наемных работников в
организациях, у индивидуальных предпринимателей и физических лиц
(среднемесячному доходу от трудовой деятельности)</t>
  </si>
  <si>
    <t>5.0.4</t>
  </si>
  <si>
    <t>5.0.5</t>
  </si>
  <si>
    <t>5.0.6</t>
  </si>
  <si>
    <t>5.0.7</t>
  </si>
  <si>
    <t>5.0.8</t>
  </si>
  <si>
    <t>5.3.10</t>
  </si>
  <si>
    <t>Количество поддержанных творческих инициатив и проектов</t>
  </si>
  <si>
    <t>Государственная программа 12. "Транспортная система"</t>
  </si>
  <si>
    <t>% к 2017 году</t>
  </si>
  <si>
    <t>Доля автомобильных дорог регионального и межмуниципального значения, соответствующих нормативным требованиям</t>
  </si>
  <si>
    <t>12.1.5</t>
  </si>
  <si>
    <t>Протяженность участков региональных автомобильных дорог, на которых выполнены работы по устройству стационарного электрического освещения</t>
  </si>
  <si>
    <t>Доля дорожной сети городских агломераций, находящейся в нормативном состоянии</t>
  </si>
  <si>
    <t>Доля отечественного оборудования (товаров, работ, услуг) в общем объеме закупок</t>
  </si>
  <si>
    <t>Доля объектов, на которых предусматривается использование новых и наилучших технологий, включенных в Реестр</t>
  </si>
  <si>
    <t>Доля контрактов жизненного цикла, предусматривающих выполнение работ по строительству, реконструкции, капитальному ремонту автомобильных дорог регионального (межмуниципального) значения</t>
  </si>
  <si>
    <t>Доля автомобильных дорог регионального значения, входящих в опорную сеть, соответствующих нормативным требованиям</t>
  </si>
  <si>
    <t xml:space="preserve">% </t>
  </si>
  <si>
    <t>тыс. пог. метров</t>
  </si>
  <si>
    <t>Объем выполненной работы городским электрическим и автомобильным транспортом на городских маршрутах</t>
  </si>
  <si>
    <t>12.2.3</t>
  </si>
  <si>
    <t xml:space="preserve">Число погибших в дорожно-транспортных происшествиях, человек на 10 тысяч транспортных средств
</t>
  </si>
  <si>
    <t>Государственная программа Мурманской области "Транспортная система"</t>
  </si>
  <si>
    <t>По ряду мероприятий сложилась экономия по результатам конкурсных процедур. По некоторым мероприятиям перенесены сроки работ на более поздний срок в связи с отсутствием положительного заключения экспертизы проектной документации или в целом изменения этапов работ</t>
  </si>
  <si>
    <t>Министерство транспорта и дорожного хозяйства МО, ГОКУ Мурманскавтодор, муниципальные образования Мурманской области</t>
  </si>
  <si>
    <t>Министерство транспорта и дорожного хозяйства МО, ОМСУ, автотранспортные предприятия, авиационные предприятия, предприятия морского транспорта, предприятия железнодорожного транспорта</t>
  </si>
  <si>
    <t>Министерство транспорта и дорожного хозяйства МО, Министерство региональной безопасности МО, ГАОУМОДОД "МОЦДОД "Лапландия", ГОКУ Мурманскавтодор, УГИБДД УМВД России по Мурманской области, ГОКУ "Управление по делам ГО ЧС и ПБ Мурманской области"</t>
  </si>
  <si>
    <t>Министерство транспорта и дорожного хозяйства МО, Министерство образования и науки МО, Министерство региональной безопасности МО, ГОКУ Мурманскавтодор, ГАОУМОДОД "МОЦДОД "Лапландия", УГИБДД УМВД России по Мурманской области, ГОКУ "Управление по делам ГО ЧС и ПБ Мурманской области", муниципальные образования Мурманской области</t>
  </si>
  <si>
    <t>Государственная программа Мурманской области "Транспортная система" (Минтранс МО)</t>
  </si>
  <si>
    <t>Превышение планируемого объема средств ВБС обусловлено выпуском ценных видов водных биоресурсов в рамках внебюджетного финансирования компенсационных мероприятий</t>
  </si>
  <si>
    <t>МРСХ МО, Минстрой МО, администрация Ковдорского района</t>
  </si>
  <si>
    <t xml:space="preserve">МПР МО, Комитет по ветеринарии МО, Минстрой МО, адм. муниципальных образований сельских поселений МО, организации и предприятия АПК, КФХ,  кооперативы     </t>
  </si>
  <si>
    <t>Подпрограмма 5 "Комплексное развитие сельских территорий"</t>
  </si>
  <si>
    <t xml:space="preserve">Показатель планируется к исключению (замене) как неинформативный </t>
  </si>
  <si>
    <t>10.1.5</t>
  </si>
  <si>
    <t>Количество водно-болотных угодий, имеющих международное значение, для которых определены границы и разработан проект положения</t>
  </si>
  <si>
    <t>Площадь лесных пожаров на землях лесного фонда</t>
  </si>
  <si>
    <t>га</t>
  </si>
  <si>
    <t>Мероприятия по закреплению на местности специальными информационными знаками границ ВЗ и ПЗП водных объектов проведены на участках водоемов и водотоков общей протяженностью 161,71 км</t>
  </si>
  <si>
    <t>Количество ликвидированных
несанкционированных свалок в границах городов</t>
  </si>
  <si>
    <t>Общая площадь восстановленных, в том числе рекультивированных, земель, подверженных негативному воздействию накопленного вреда окружающей среде</t>
  </si>
  <si>
    <t>Численность населения, качество жизни которого улучшится в связи с ликвидацией выявленных на 1 января 2018 г. несанкционированных свалок в границах городов и наиболее опасных объектов накопленного экологического ущерба</t>
  </si>
  <si>
    <r>
      <t xml:space="preserve">ö </t>
    </r>
    <r>
      <rPr>
        <b/>
        <sz val="11"/>
        <rFont val="Times New Roman"/>
        <family val="1"/>
        <charset val="204"/>
      </rPr>
      <t>=</t>
    </r>
  </si>
  <si>
    <t>ö</t>
  </si>
  <si>
    <t>Минприроды МО,
Минстрой МО</t>
  </si>
  <si>
    <t>Доля привлеченных к ответственности лиц за нарушения законодательства в области охоты и сохранения охотничьих ресурсов, в области охраны и использования объектов животного мира к общему количеству возбужденных дел об административных правонарушениях</t>
  </si>
  <si>
    <t>Экономия по результатам закупочных процедур. Также неполное освоение средств и частичное выполнение мероприятий связано с тем, что лесопользователи выполняли работы в соответствии с планами освоения лесов</t>
  </si>
  <si>
    <t>МПР МО, Минэнерго и ЖКХ МО, Минстрой МО,
администрации муниципальных образований, ФГУП "Предприятие по обращению с радиоактивными отходами "РосРАО", ФГБУ "ВНИИ Экология"</t>
  </si>
  <si>
    <t>Министерством здравоохранения Мурманской области ежемесячно проводится анализ динамики и  причин смертности населения региона, еженедельно - видеоселекторные совещания со специалистами медицинских организаций.
Для снижения показателей смертности разработаны планы по снижению смертности от онкологических заболеваний, цереброваскулярных болезней, болезней органов дыхания, туберкулеза, болезней органов пищеварения, от транспортных несчастных случаев, младенческой смертности. Осуществляется вакцинация населения.</t>
  </si>
  <si>
    <t xml:space="preserve">Данные предварительные (оценка) по данным Единой межведомственной информационно-статистической системы (ЕМИСС), данный показатель представляется 15 июня года, следующего за отчетным. </t>
  </si>
  <si>
    <t>Мероприятия по снижению смертности населения Мурманской области на 2023-2024 гг. отражены в соответствующем плане, утвержденном приказом Министерства здравоохранения Мурманской области от 28.11.2023 № 759/1 «О утверждении плана мероприятий по снижению смертности населения  Мурманской области»</t>
  </si>
  <si>
    <t>Данные предварительные (оценка) по данным Единой межведомственной информационно-статистической системы (ЕМИСС), данный показатель представляется 21 августа года, следующего за отчетным.</t>
  </si>
  <si>
    <t>Проведение профилактической работы по пропаганде здорового образа жизни</t>
  </si>
  <si>
    <t>Уменьшение количества запланированных на диспансеризацию детей (коррекция планов-графиков)</t>
  </si>
  <si>
    <t>Популяризация иммунизации. По СанПиН 3.3686-21 "Санитарно-эпидемиологические требования по профилактике инфекционных болезней" данный показатель выполняется (больше 95%)</t>
  </si>
  <si>
    <t>Данные предварительные (оценка) по данным Единой межведомственной информационно-статистической системы (ЕМИСС), данный показатель представляется 22 июня года, следующего за отчетным.</t>
  </si>
  <si>
    <t>Перевыполнение показателя обусловлено активной кадровой политикой</t>
  </si>
  <si>
    <t xml:space="preserve">Доступность дошкольного образования для детей в возрасте до 3 лет
</t>
  </si>
  <si>
    <t xml:space="preserve">Доля выпускников общеобразовательных организаций, не сдавших ЕГЭ по обязательным предметам
</t>
  </si>
  <si>
    <t xml:space="preserve">Доля выпускников образовательных организаций, реализующих программы среднего профессионального образования, занятых по виду деятельности и полученным компетенция
</t>
  </si>
  <si>
    <t xml:space="preserve">Доля педагогических работников общеобразовательных организаций, прошедших повышение квалификации, в том числе в центрах непрерывного повышения профессионального мастерства (нарастающим итогом)
</t>
  </si>
  <si>
    <t xml:space="preserve">Доля обучающихся, обеспеченных бесплатным питанием в образовательных организациях, из общей численности обучающихся, имеющих право на обеспечение бесплатным питанием
</t>
  </si>
  <si>
    <t>Доступность дошкольного образования для детей в возрасте от 3 до 7 лет</t>
  </si>
  <si>
    <t>2.0.7</t>
  </si>
  <si>
    <t>2.0.8</t>
  </si>
  <si>
    <t>2.0.9</t>
  </si>
  <si>
    <t>2.0.10</t>
  </si>
  <si>
    <t>Внедрение новой формы информационной поддержки дополнительного образования (размещение на портале Региональный навигатор.51 программ дополнительного образования, реализуемых колледжами)</t>
  </si>
  <si>
    <t>2.1.10</t>
  </si>
  <si>
    <t>Доля обучающихся образовательных организаций, реализующих программы среднего профессионального образования, прошедших демонстрационный экзамен профильного уровня</t>
  </si>
  <si>
    <t xml:space="preserve">Участие в федеральном проекте "Профессионалитет" обеспечило возможность направлять на повышение квалификации большее число педагогов </t>
  </si>
  <si>
    <t>Доля руководителей и педагогических работников государственных областных профессиональных образовательных организаций, прошедших обучение по дополнительным профессиональным программам (повышение квалификации или профессиональная переподготовка) (нарастающим итогом)</t>
  </si>
  <si>
    <t>2.2.9</t>
  </si>
  <si>
    <t>2.2.10</t>
  </si>
  <si>
    <t>2.2.11</t>
  </si>
  <si>
    <t xml:space="preserve">Доля общеобразовательных организаций, оснащенных в целях внедрения цифровой образовательной среды
</t>
  </si>
  <si>
    <t xml:space="preserve">Число общеобразовательных организаций, расположенных в сельской местности и малых городах, в которых созданы и функционируют центры образования естественно-научной и технологической направленностей (нарастающим итогом)
</t>
  </si>
  <si>
    <t xml:space="preserve">Число общеобразовательных организаций, в которых обновлена материально-техническая база для занятий детей физической культурой и спортом (нарастающим итогом)
</t>
  </si>
  <si>
    <t>Подготовка предложений в Правительство Мурманской области об увеличении стимулирующих выплат педагогическим работникам</t>
  </si>
  <si>
    <t>2.3.9</t>
  </si>
  <si>
    <t>Численность обучающихся, охваченных мероприятиями патриотической и спортивной направленности</t>
  </si>
  <si>
    <t xml:space="preserve">Доля обучающихся, охваченных мероприятиями, организованными советниками директоров по воспитанию и проведенными в общеобразовательных организациях
</t>
  </si>
  <si>
    <t>Доля обучающихся с 5 по 8 класс по общеобразовательным программам и проживающих в Арктической зоне Российской Федерации, посетивших курортные территории в рамках оздоровительной кампании</t>
  </si>
  <si>
    <t>Увеличение количества негосударственных организаций оказывающих услуги в сфере дополнительного образования, а также использования механизма персонифицированного финансирования дополнительного образования детей</t>
  </si>
  <si>
    <t>Привлечение к участию в мероприятиях профилактической направленности большего числа детей</t>
  </si>
  <si>
    <t xml:space="preserve">Министерство здравоохранения Мурманской области, медицинские организации, Министерство строительства Мурманской области, ГОКУ "Управление капитального строительства Мурманской области", Комитет молодежной политики Мурманской области, Министерство региональной безопасности Мурманской области, ТФОМС Мурманской области, НКО, ФКУ «ГБ МСЭ по Мурманской области» Минтруда России, Социальный фонд России, Министерство информационной политики Мурманской области
АНО «Мурманконгресс» </t>
  </si>
  <si>
    <t>Министерство здравоохранения Мурманской области, медицинские организации, Комитет молодежной политики Мурманской области, Комитет по обеспечению безопасности населения Мурманской области, ТФОМС Мурманской области, НКО</t>
  </si>
  <si>
    <t>Министерство здравоохранения Мурманской области, 
ТФОМС Мурманской области,
медицинские организации, НКО</t>
  </si>
  <si>
    <t>Министерство здравоохранения Мурманской области, медицинские организации, 
ТФОМС Мурманской области</t>
  </si>
  <si>
    <t>Министерство здравоохранения Мурманской области, государственные областные учреждения здравоохранения Мурманской области,
профессиональные некоммерческие организации</t>
  </si>
  <si>
    <t>Министерство здравоохранения Мурманской области,  ГОБУЗ "Мурманская областная клиническая больница имени П.А.Баяндина", медицинские организации,  ГООАУ ДПО МОЦПКСЗ, ТФОМС  Мурманской области, ФКУ «ГБ МСЭ по Мурманской области» Минтруда России, Социальный фонд России</t>
  </si>
  <si>
    <t xml:space="preserve">Министерство здравоохранения Мурманской области, медицинские организации, ТФОМС  Мурманской области, АНО «Мурманконгресс» </t>
  </si>
  <si>
    <t>Министерство образования и науки МО, государственные областные образовательные организации, ГАНОУ МО «ЦО «Лапландия»,  ГОБОУДО МОЗСООПЦ "Гандвиг", органы местного самоуправления, муниципальные образовательные организации, ГАПОУ МО "МКЭиИТ</t>
  </si>
  <si>
    <t>Министерство образования и науки МО, подведомственные государственные областные образовательные организации, Министерство строительства МО, ОМСУ, ГОКУ «Гандвиг»</t>
  </si>
  <si>
    <t>Министерство образования и науки МО,  ГОБОУ Мурманская КШИ № 3, ГОБОУ Минькинская КШИ, ГОБУ Кильдинская КШИ, ГОБОУ Оленегорская КШИ, ГОБОУ Мурманская КШ № 1, ГОБОУ Кандалакшская КШИ, ГОБОУ Мончегорская КШ, ГОБООУ ЗСШИ, ГОБОУ МО «СОШ № 289», ГОБОУДО «МОЗСООПЦ «Гандвиг», ГОБОУ МО КК «Североморский кадетский корпус», ГКОУ МО ВСОШ № 18, социально ориентированные некоммерческие организации Мурманской области, ГАУ ДПО МО «ИРО»,  АНОУ МО «ЦО «Лапландия», ГАУ МО «ЦКО», АНО «Проектный офис «Губернаторский лицей», Министерство строительства МО, ОМСУ, образовательные организации</t>
  </si>
  <si>
    <t>Министерство здравоохранения Мурманской области, подведомственные учреждения, Министерство строительства Мурманской области, ГОКУ «Управление капитального строительства Мурманской области</t>
  </si>
  <si>
    <t>Доля граждан в возрасте 3-29 лет, систематически занимающихся физической культурой и спортом, в общей численности граждан данной возрастной категории</t>
  </si>
  <si>
    <t xml:space="preserve">Доля граждан в возрасте от 30 до 54 года включительно (женщины) и до 59 лет включительно (мужчины), систематически занимающихся физической культурой и спортом, в общей численности граждан данной возрастной категории
</t>
  </si>
  <si>
    <t>Доля граждан в возрасте от 55 лет (женщины) и от 60 лет (мужчины) до 79 лет включительно, систематически занимающихся физической культурой и спортом, в общей численности граждан данной возрастной категории</t>
  </si>
  <si>
    <t>Доля граждан трудоспособного возраста, систематически занимающихся физической культурой и спортом</t>
  </si>
  <si>
    <t>Доля лиц с ограниченными возможностями здоровья и инвалидов, систематически занимающихся физической культурой и спортом, в общей численности указанной категории населения, не имеющего противопоказаний для занятий физической культурой и спортом</t>
  </si>
  <si>
    <t xml:space="preserve">Доля сельского населения, систематически занимающегося физической культурой и спортом
</t>
  </si>
  <si>
    <t>4.1.5</t>
  </si>
  <si>
    <t>4.1.6</t>
  </si>
  <si>
    <t>Увеличение количества школ реализующих дополнительные образовательные программы спортивной подготовки</t>
  </si>
  <si>
    <t xml:space="preserve">Министерство спорта МО и подведомственные учреждения администрации </t>
  </si>
  <si>
    <t>Министерство спорта МО, Минстрой МО,ГОКУ "УКС МО", ГОУП УСДЦ, администрации муниципальных образований</t>
  </si>
  <si>
    <t>7.0.4</t>
  </si>
  <si>
    <t xml:space="preserve">Доля благоустроенных дворовых территорий от общего количества дворовых территорий Мурманской области
</t>
  </si>
  <si>
    <t>7.0.5</t>
  </si>
  <si>
    <t>7.0.8</t>
  </si>
  <si>
    <t>7.0.9</t>
  </si>
  <si>
    <t>Среднее значение индекса качества городской среды</t>
  </si>
  <si>
    <t>Доля МКД, в которых проведен капитальный ремонт</t>
  </si>
  <si>
    <t>7.1.8</t>
  </si>
  <si>
    <t xml:space="preserve">Доля населения Мурманской области, обеспеченного качественной питьевой водой из систем централизованного водоснабжения
</t>
  </si>
  <si>
    <t xml:space="preserve">Количество многоквартирных домов, в отношении которых выполнено комплексное благоустройство дворовых территорий
</t>
  </si>
  <si>
    <t>7.2.1</t>
  </si>
  <si>
    <t>7.2.2</t>
  </si>
  <si>
    <t>Количество реализованных проектов комплексного благоустройства общественных территорий</t>
  </si>
  <si>
    <t>Выполнение в отчетном финансовом году показателей по мероприятиям, на софинансирование которых направлена субсидия, равных значениям, установленных в Соглашениях о предоставлении субсидии из областного бюджета бюджету муниципального образования город Мурманск на осуществление городом Мурманском функций административного центра области</t>
  </si>
  <si>
    <t>7.2.5</t>
  </si>
  <si>
    <t>Наличие схемы территориального планирования Мурманской области в актуальном виде</t>
  </si>
  <si>
    <t>7.2.8</t>
  </si>
  <si>
    <t>Количество обустроенных детских и спортивных площадок</t>
  </si>
  <si>
    <t xml:space="preserve">Количество квадратных метров расселенного непригодного для проживания жилищного фонда (нарастающим итогом)
</t>
  </si>
  <si>
    <t>Количество граждан, расселенных из непригодного для проживания жилищного фонда (нарастающим итогом)</t>
  </si>
  <si>
    <t>Подпрограмма 4. "Обеспечение устойчивой деятельности топливно-энергетического комплекса и функционирования коммунальной инфраструктуры Мурманской области и повышения энергетической эффективности"</t>
  </si>
  <si>
    <t>7.4.1</t>
  </si>
  <si>
    <t>Количество построенных и реконструируемых объектов топливно-энергетического комплекса и коммунальной инфраструктуры</t>
  </si>
  <si>
    <t>7.4.5</t>
  </si>
  <si>
    <t>Количество устраиваемой ливневой канализации</t>
  </si>
  <si>
    <t>Подпрограмма 5. "Обеспечение осуществления государственного контроля (надзора) в жилищно-коммунальной сфере"</t>
  </si>
  <si>
    <t>8.2</t>
  </si>
  <si>
    <t>8.2.1</t>
  </si>
  <si>
    <t>8.2.2</t>
  </si>
  <si>
    <t>8.2.3</t>
  </si>
  <si>
    <t>8.2.4</t>
  </si>
  <si>
    <t>8.2.6</t>
  </si>
  <si>
    <t>8.3</t>
  </si>
  <si>
    <t>8.3.1</t>
  </si>
  <si>
    <t>8.3.2</t>
  </si>
  <si>
    <t>8.3.3</t>
  </si>
  <si>
    <t>9.0.4</t>
  </si>
  <si>
    <t>9.0.5</t>
  </si>
  <si>
    <t>9.0.6</t>
  </si>
  <si>
    <t>9.0.7</t>
  </si>
  <si>
    <t>9.1.5</t>
  </si>
  <si>
    <t>9.3.4</t>
  </si>
  <si>
    <t>9.3.5</t>
  </si>
  <si>
    <t>9.3.6</t>
  </si>
  <si>
    <t>9.5</t>
  </si>
  <si>
    <t>9.5.3</t>
  </si>
  <si>
    <t>9.5.5</t>
  </si>
  <si>
    <t>9.5.6</t>
  </si>
  <si>
    <t>9.5.8</t>
  </si>
  <si>
    <t>9.5.9</t>
  </si>
  <si>
    <t>9.5.10</t>
  </si>
  <si>
    <t>9.5.11</t>
  </si>
  <si>
    <t>9.6</t>
  </si>
  <si>
    <t>9.6.1</t>
  </si>
  <si>
    <t>9.6.2</t>
  </si>
  <si>
    <t>9.6.3</t>
  </si>
  <si>
    <t>10.1.7</t>
  </si>
  <si>
    <t>10.1.8</t>
  </si>
  <si>
    <t>10.2.7</t>
  </si>
  <si>
    <t>10.2.8</t>
  </si>
  <si>
    <t>10.2.9</t>
  </si>
  <si>
    <t>10.2.10</t>
  </si>
  <si>
    <t>10.3.1</t>
  </si>
  <si>
    <t>10.3.5</t>
  </si>
  <si>
    <t>10.3.6</t>
  </si>
  <si>
    <t>10.3.7</t>
  </si>
  <si>
    <t>10.3.8</t>
  </si>
  <si>
    <t>11.1.3</t>
  </si>
  <si>
    <t>11.1.4</t>
  </si>
  <si>
    <t>11.1.6</t>
  </si>
  <si>
    <t>11.1.9</t>
  </si>
  <si>
    <t>11.2.2</t>
  </si>
  <si>
    <t>12.0.4</t>
  </si>
  <si>
    <t>12.4.1</t>
  </si>
  <si>
    <t>12.4.2</t>
  </si>
  <si>
    <t>12.4.3</t>
  </si>
  <si>
    <t>14.0.4</t>
  </si>
  <si>
    <t>14.2.4</t>
  </si>
  <si>
    <t>14.3</t>
  </si>
  <si>
    <t>14.3.1</t>
  </si>
  <si>
    <t>14.3.3</t>
  </si>
  <si>
    <t>14.4</t>
  </si>
  <si>
    <t>14.4.1</t>
  </si>
  <si>
    <t>14.4.2</t>
  </si>
  <si>
    <t>14.4.3</t>
  </si>
  <si>
    <t>14.4.4</t>
  </si>
  <si>
    <t>15.0.5</t>
  </si>
  <si>
    <t>15.0.6</t>
  </si>
  <si>
    <t>15.0.7</t>
  </si>
  <si>
    <t>15.0.8</t>
  </si>
  <si>
    <t>15.0.10</t>
  </si>
  <si>
    <t>15.1.6</t>
  </si>
  <si>
    <t>15.1.7</t>
  </si>
  <si>
    <t>15.1.8</t>
  </si>
  <si>
    <t>15.1.9</t>
  </si>
  <si>
    <t>15.1.10</t>
  </si>
  <si>
    <t>15.2.5</t>
  </si>
  <si>
    <t>15.2.6</t>
  </si>
  <si>
    <t>15.2.7</t>
  </si>
  <si>
    <t>15.3.2</t>
  </si>
  <si>
    <t>15.3.4</t>
  </si>
  <si>
    <t>15.3.5</t>
  </si>
  <si>
    <t>15.3.6</t>
  </si>
  <si>
    <t>15.3.7</t>
  </si>
  <si>
    <t>15.3.8</t>
  </si>
  <si>
    <t>15.3.9</t>
  </si>
  <si>
    <t>15.3.10</t>
  </si>
  <si>
    <t>15.4.4</t>
  </si>
  <si>
    <t>15.5</t>
  </si>
  <si>
    <t>15.5.1</t>
  </si>
  <si>
    <t>15.5.2</t>
  </si>
  <si>
    <t>Подпрограмма 4. Обеспечение устойчивой деятельности топливно-энергетического комплекса и функционирования коммунальной инфраструктуры Мурманской области и повышения энергетической эффективности</t>
  </si>
  <si>
    <t>Подпрограмма 4 «Обеспечение устойчивой деятельности топливно-энергетического комплекса и функционирования коммунальной инфраструктуры Мурманской области и повышения энергетической эффективности»</t>
  </si>
  <si>
    <t>8.4</t>
  </si>
  <si>
    <t>12.5</t>
  </si>
  <si>
    <t>8.2.</t>
  </si>
  <si>
    <t>8.3.</t>
  </si>
  <si>
    <t>8.4.</t>
  </si>
  <si>
    <t>9.5.</t>
  </si>
  <si>
    <t>9.6.</t>
  </si>
  <si>
    <t xml:space="preserve">10. </t>
  </si>
  <si>
    <t>11.</t>
  </si>
  <si>
    <t>12.5.</t>
  </si>
  <si>
    <t>14.3.</t>
  </si>
  <si>
    <t>14.4.</t>
  </si>
  <si>
    <t>15.5.</t>
  </si>
  <si>
    <t>Реконструкция комплекса зданий ГОБУЗ «Мурманский областной онкологический диспансер» по адресу: г. Мурманск, ул. Академика Павлова, д.6, корп. 2.1 этап. Хирургический корпус</t>
  </si>
  <si>
    <t xml:space="preserve">465 789,9
(предполагаемая (предельная) стоимость объекта, определенная с применением укрупненного норматива цены  строительства)
</t>
  </si>
  <si>
    <t xml:space="preserve">Амбулатория с подстанцией скорой помощи и дневным стационаром в пгт. Зеленоборский
</t>
  </si>
  <si>
    <t xml:space="preserve">Министерство строительства Мурманской области, ГОКУ «УКС МО»
</t>
  </si>
  <si>
    <t xml:space="preserve">2021 - 2022 - разработка ПСД,
2022 - 2024 - строительство
</t>
  </si>
  <si>
    <t xml:space="preserve">536 173,5 (предполагаемая (предельная) стоимость объекта, определенная с применением укрупненного норматива цены строительства)
</t>
  </si>
  <si>
    <t xml:space="preserve">Строительство объекта «Инфекционный корпус на территории ГОАУЗ МЦРБ по адресу: г. Мончегорск, пр. Кирова, д. 6»
</t>
  </si>
  <si>
    <t xml:space="preserve">Министерство здравоохранения Мурманской области, ГОАУЗ «МЦРБ», Министерство строительства Мурманской области, ГОКУ «УКС МО»
</t>
  </si>
  <si>
    <t xml:space="preserve">Строительство объекта "Инфекционное отделение в филиале ГОАУЗ МЦРБ - Ковдорская больница в г. Ковдоре Мурманской области"
</t>
  </si>
  <si>
    <t xml:space="preserve">Реконструкция комплекса зданий ГОБУЗ "Мурманский областной онкологический диспансер" по адресу: г. Мурманск, ул. Академика Павлова, д. 6, корп. 2. 2 этап. Лечебно-диагностический корпус и радиологический корпус
</t>
  </si>
  <si>
    <t>Строительство здания начальной школы (пристройки) на 250 мест в поселке Печенга</t>
  </si>
  <si>
    <t xml:space="preserve">Министерство строительства Мурманской области, АМО Печенгского района, ГОКУ УКС
</t>
  </si>
  <si>
    <t>2020-ПСД, 2023-2024 - СМР</t>
  </si>
  <si>
    <t>Строительство объекта "ПСД на ФОК закрытого типа в районе дома 13 по ул. Старостина" (в рамках концессионного соглашения по строительству и эксплуатации объекта соглашения в соответствии с Федеральным законом от 21.07.2005 N 115-ФЗ "О концессионных соглашениях")</t>
  </si>
  <si>
    <t>2023 - 2032 строительство и эксплуатация</t>
  </si>
  <si>
    <t xml:space="preserve">Минстрой МО, АО Корпорация развития МО
</t>
  </si>
  <si>
    <t>Строительство крытого бассейна в ЗАТО г. Североморск</t>
  </si>
  <si>
    <t>Минстрой МО, ГОКУ УКС</t>
  </si>
  <si>
    <t>Строительство объекта "Быстровозводимый спортивно-оздоровительный комплекс с плавательным бассейном и тренажерным залом" на Кольском проспекте в г. Мурманске" (в рамках концессионного соглашения по строительству и эксплуатации объекта соглашения в соответствии с Федеральным законом от 21.07.2005 N 115-ФЗ "О концессионных соглашениях")</t>
  </si>
  <si>
    <t xml:space="preserve">Минспорт МО, АО Корпорация развития МО
</t>
  </si>
  <si>
    <t xml:space="preserve">2023 - 2033 строительство и эксплуатация
</t>
  </si>
  <si>
    <t>Реконструкция Ледового дворца, расположенного по адресу: Мурманская обл., г. Оленегорск, ул. Строительная, д. 40</t>
  </si>
  <si>
    <t xml:space="preserve">Минстрой МО, администрация муниципального образования г. Оленегорск МО
</t>
  </si>
  <si>
    <t xml:space="preserve">2023 - 2024 разработка ПСД,СМР
</t>
  </si>
  <si>
    <t>Спортивный комплекс с плавательным бассейном «Энергетик», расположенный по адресу: Мурманская область, Кольский район, пгт. Мурмаши, ул. Мисякова, д.6</t>
  </si>
  <si>
    <t xml:space="preserve">Минстрой МО, администрация муниципального образования Кольский муниципальный район МО 
</t>
  </si>
  <si>
    <t>2023-2025 приобретение</t>
  </si>
  <si>
    <t>Фитнес-центр «Престиж», расположенный в зданиях по адресам : Мурманская область, Кольский район, п.г.т. Мурмаши, ул. Мира, д.14, ул. Мира, д. 13</t>
  </si>
  <si>
    <t xml:space="preserve">Минстрой МО, администрация муниципального образования Кольский муниципальный район МО </t>
  </si>
  <si>
    <t>Реконструкция с элементами реставрации в целях приспособления к современному использованию здания ГОАУК «Мурманский областной Дворец культуры и народного творчества им. С.М. Кирова»</t>
  </si>
  <si>
    <t>Министерство строительства  Мурманской области,  администрация муниципального образования городской округ город-герой Мурманска</t>
  </si>
  <si>
    <t>Министерство строительства  Мурманской области, ГОКУ «Управление капитального строительства Мурманской области»</t>
  </si>
  <si>
    <t>Жилой дом (4) в г. Мурманске по ул. Кирпичной 2 этап</t>
  </si>
  <si>
    <t xml:space="preserve">Минстрой МО, МО ЗАТО г.Североморск </t>
  </si>
  <si>
    <t>выполнение работ 2023 - 2024 годах . Ввод в эксплуатацию в 2024 году.</t>
  </si>
  <si>
    <t xml:space="preserve">2012 - 2013 - разработка ПСД, 2019 - 2024 - строительство
</t>
  </si>
  <si>
    <t>Жилой дом в г. Мурманске по ул. Кирпичной 1 этап</t>
  </si>
  <si>
    <t>Разработка ПД 2021 год
Строительство 2022-2024 годы</t>
  </si>
  <si>
    <t>50</t>
  </si>
  <si>
    <t xml:space="preserve">Подключение системы канализации н.п. Шонгуй к системе водоотведения п.г.т. Кильдинстрой с дальнейшим подключением к ОСК п.г.т. Молочный (строительство)
</t>
  </si>
  <si>
    <t>Минэнерго и ЖКХ МО, ГОУП "Мурманскводоканал"</t>
  </si>
  <si>
    <t xml:space="preserve">2023 - разработка ПСД, строительство 2024 </t>
  </si>
  <si>
    <t>51</t>
  </si>
  <si>
    <t>52</t>
  </si>
  <si>
    <t>Строительство системы водоотведения к общеобразовательной школе на 800 мест по пер.Казарменному*</t>
  </si>
  <si>
    <t>Минстрой МО, муниципальное образование город Мурманск</t>
  </si>
  <si>
    <t>53</t>
  </si>
  <si>
    <t>Строительство системы водоотведения по объекту "Жилой дом в г.Мурманске по ул. Полярные Зори"</t>
  </si>
  <si>
    <t>54</t>
  </si>
  <si>
    <t>Работы выполнены.</t>
  </si>
  <si>
    <t xml:space="preserve">Реконструкция мостового перехода через р. Канентъявр на км 49+100 автомобильной дороги Кола - Серебрянские ГЭС с подъездами
</t>
  </si>
  <si>
    <t>2023-2024</t>
  </si>
  <si>
    <t>Реконструкция мостового перехода через р. Большая Печенга на км 32+586 автомобильной дороги Никель - Приречный-а/д "Лотта"</t>
  </si>
  <si>
    <t>Реконструкция автомобильной дороги Апатиты-Кировск, км 2+688 — км 14+314</t>
  </si>
  <si>
    <t>2023-2025</t>
  </si>
  <si>
    <t>Социологический опрос не проводился, данные о фактическом достижении показателя отсутствуют</t>
  </si>
  <si>
    <t>Министерство развития Арктики и экономики МО, Комитет по тарифному регулированию МО, Комитет по туризму МО</t>
  </si>
  <si>
    <t>Первая оценка. Предварительные данные опубликованы Мурманскстатом в феврале 2025 года, уточненные данные будут повторно пересчитаны в августе 2025 года.
Негативное влияние на формирование показателя оказало снижение производства в добывающей и обрабатывающей промышленности (на 4,2 % и на 2,9 % соответственно). 
Уровень металлургического производства снизился на 5,2 % к 2023 году на фоне сокращения поставок норильского сырья. В тоже время компания продолжила расширять продажи на новых рынках. Так начали регулярно выпускать никель премиальных марок и поставлять его для гальванического сектора в Китай. В АО «Кольской ГМК» после профилактического ремонта было успешно запущено отделение карбонильного никеля и началось производство специальных никелевых порошков.
По итогам года снижение производства допущено в добыче металлических руд, главным образом, в результате сокращения добычи железорудного концентрата на 11,6 %. Основная причина - снижение извлечения ЖРК из апатит-магнетитовых руд из-за технических проблем на горно-добывающем предприятии, увеличения внеплановых ремонтных простоев выемочно-погрузочного оборудования</t>
  </si>
  <si>
    <t>Первая оценка. Значение показателя рассчитано по предварительным данным, официальные статистические данные (вторая окончательная оценка) будет пересчитано в августе 2025 года, окончательные данные - декабрь 2025 года. Увеличение (от планового значения) связано в основном с изменением инвестиционных затрат, направленных на  развитие предприятий по добыче минерального сырья, металлургического производства, транспортной инфраструктуры.
В активной инвестиционной и строительной фазах находятся проекты Комплексного развития Мурманского транспортного узла, строительства комплекса перегрузки угля "Морской торговый порт "Лавна" и железнодорожных путей, разработки Печегубского месторождения, а также проекты резидентов Арктической зоны Российской Федерации.</t>
  </si>
  <si>
    <t>Превышение планового значения за счет высокого темпа роста количества самозанятых граждан (33,6 % к 2023 году). Снижение показателя к 2023 году в связи с применением с 2024 года новой методики рассчета, предусматривающей исключение из расчета показателя двойного учета ИП и самозанятых граждан, которые одновременно являются работниками у ИП и (или) у ЮЛ, а также исключение из числа самозанятых граждан лиц, которые не получали доход за последние 12 месяцев</t>
  </si>
  <si>
    <t>Оценка. Данные представлены на уровне планового значения, официальные статистические данные будут в июне 2025 года</t>
  </si>
  <si>
    <t>В связи с высоким спросом со стороны предприятий-участников национального проекта «Производительность труда», выделением Минэкономразвития России дополнительных квот на обучение в рамках национального проекта «Производительность труда», в период с 2021 по  2024 годы число обученных по программе управленческих навыков для повышения производительности труда от предприятий Мурманской области превысило плановое значение.</t>
  </si>
  <si>
    <t>Оценка. Данные представлены на уровне планового значения. В соответствии с методикой рейтинг формируется Минэкономразвития России до 01 апреля года, следующего за отчетным. Вместе с тем, срок официального опубликования рейтинга не установлен и не представляется возможным спрогнозировать дату его опубликования</t>
  </si>
  <si>
    <t>12.1.11</t>
  </si>
  <si>
    <t>12.1.12</t>
  </si>
  <si>
    <t>Количество организаций, реализующих мероприятия по внедрению принципов бережливого производства при поддержке Регионального центра компетенций</t>
  </si>
  <si>
    <t>Количество сотрудников организаций и студентов, прошедших обучение инструментам повышения производительности труда при поддержке Регионального центра компетенций</t>
  </si>
  <si>
    <t>Отклонение от планового значения связано с большим числом обученных сотрудников организаций и студентов, чем планировалось. Плановое значение формировалось исходя из минимального значения наполнения группы для обучения. Заинтересованность руководителей организаций в обучении  сотрудников/студентов оказалось выше прогнозируемого. Так, сотрудников организаций было обучено 144 человека, вместо планируемых 84, студентов - 141 человек, вместо 120</t>
  </si>
  <si>
    <t>Оценка. Данные представлены на уровне планового значения. Срок предоставления формы статистической отчетности "Баланс трудовых ресурсов по Мурманской области" за 2024 год - до 18 августа 2025 года</t>
  </si>
  <si>
    <t>Оценка. Данные представлены на уровне планового значения.
Срок предоставления окончательных форм статистической отчетности по обороту продукции и услуг, производимых средними и малыми предприятиями, за 2024 год - до 5 июня 2025 года</t>
  </si>
  <si>
    <t>Оценка. Значение показателя рассчитано на основании предварительной оценки численности населения по Мурманской области, официальные статистические данные будут в апреле 2025 года. Увеличение значения показателя связано с ростом количества субъектов МСП на фоне снижения численности населения региона</t>
  </si>
  <si>
    <t>Специальный налоговый режим для самозанятых граждан является востребованным налоговым режимом и находится в активной фазе применения</t>
  </si>
  <si>
    <t>Количество введенных в эксплуатацию номеров в модульных некапитальных средствах размещения</t>
  </si>
  <si>
    <t>Число туристских поездок</t>
  </si>
  <si>
    <t>12.3.6</t>
  </si>
  <si>
    <t>миллион человек</t>
  </si>
  <si>
    <t xml:space="preserve">Оценка. Фактическое значение указано на уровне плана, в связи с тем, что официальные статистические данные за 2024 год будут представлены в апреле 2025 года </t>
  </si>
  <si>
    <t>Министерство развития Арктики и экономики МО, Комитет по конкурентной политике МО, Министерство имущественных отношений МО, Министерство транспорта и дорожного хозяйства МО, Министерство градостроительства и благоустройства МО, Министерство энергетики и жилищно-коммунального хозяйства МО, Министерство строительства МО, АО "Корпорация развития Мурманской области", ООО "КРДВ Мурманск", АНО "Арктический центр компетенций", НМКК "ФОРМАП" (фонд)</t>
  </si>
  <si>
    <t>Низкое освоение средств в связи с предоставлением субсидии на технологическое присоединения к сетям электроснабжения (в соответствии с ППМО от 05.08.2024 № 526-ПП) - средства переведены инвестору 27.12.2024, кассовое исполнение 100 %, фактическое перечисление средств исполнителю работ по техприсоединению (АО "МОЭСК") 04.02.2025</t>
  </si>
  <si>
    <t>Некоторые мероприятия носят заявительный характер. Экономия сложилась по итогам конкурсных процедур</t>
  </si>
  <si>
    <t>Комитет по туризму МО, Министерство строительства МО, Министерство энергетики и жилищно-коммунального хозяйства МО, НМКК "ФОРМАП" (фонд), АНО "Туристский информационный центр Мурманской области", АНО по развитию конгрессно-выставочной, ярмарочной и информационной деятельности «Мурманконгресс», АНО «Агентство по проведению спортивно-массовых и культурно-зрелищных мероприятий «СпортКульт51»</t>
  </si>
  <si>
    <t>Не выполнено мероприятие по технологическому присоединению к сетям электроснабжения, теплоснабжения, водоснабжения и водоотведения в связи с отказом инвестора от использования в своей деятельности финансового инструмента в виде ИБК в связи с высокими финансовыми рисками, вызванными нестабильной экономической обстановкой. Низкое освоение средств обусловлено тем, что средства капитальных грантов перечислены, но фактическое исполнение работ по технологическому присоединению будет осуществляться в 2025 году</t>
  </si>
  <si>
    <t>Министерство развития Арктики и экономики МО, АНО "Арктический информационный центр"</t>
  </si>
  <si>
    <t>Министерство развития Арктики и экономики МО, Министерство строительства МО, Министерство транспорта и дорожного хозяйства МО, Министерство энергетики и жилищно-коммунального хозяйства МО, Комитет по тарифному регулированию МО, Комитет по туризму МО, Комитет по конкурентной политике МО, АО "Корпорация развития Мурманской области, ООО "КРДВ Мурманск", НМКК "ФОРМАП" (фонд), ГОБУ МРИБИ, АНО "Арктический центр компетенций", АНО "Центр поддержки экспорта Мурманской области", АНО "Туристский информационный центр Мурманской области", АНО  "Агентство по проведению спортивно-массовых и культурно-зрелищных мероприятий «СпортКульт51"</t>
  </si>
  <si>
    <t>Государственная программа "Экономический потенциал"</t>
  </si>
  <si>
    <t>Подпрограмма 3. Развитие туризма</t>
  </si>
  <si>
    <t xml:space="preserve">ВБС </t>
  </si>
  <si>
    <t>Создание/строительство объекта туристской инфраструктуры - Акватермальный комплекс в рамках концессионного соглашения в отношении создания и эксплуатации регионального центра здоровья и отдыха "Арктический акватермальный физкультурно-оздоровительный комплекс"</t>
  </si>
  <si>
    <t>Министерство строительства Мурманской области, ООО "Городской курорт Мурманск" (концессионер)</t>
  </si>
  <si>
    <t>проектная мощность - не менее 1700 посетителей; этажность - не менее 2 и не более 3 наземных этажей; общая площадь: не менее 14000 кв. м, включая общую площадь здания и открытой уличной зоны</t>
  </si>
  <si>
    <t>Информация о ходе работ на объектах капитального строительства за 2024 год</t>
  </si>
  <si>
    <t>За  2024 год, тыс. рублей</t>
  </si>
  <si>
    <t>Выполнено за счет средств 2024 года</t>
  </si>
  <si>
    <t>Общие кассовые расходы по состоянию на 01.01.2024, тыс. рублей</t>
  </si>
  <si>
    <t>Выплачен капитальный грант. В связи с отсутствием ТУ сроки строительства сдвигаются</t>
  </si>
  <si>
    <t>Сведения о ходе реализации мероприятий государственных программ Мурманской области за 2024 год</t>
  </si>
  <si>
    <t>План на 2024 год</t>
  </si>
  <si>
    <t>Основной причиной невыполнения показателя является недопоступление доходов в областной бюджет в 2024 году, в основном непоступление налога на прибыль от предприятий, ранее входивших в состав консолидированной группы налогоплательщиков</t>
  </si>
  <si>
    <t>В качестве одной из мер - снижение расходов на обслуживания государственного долга в части коммерческих кредитов</t>
  </si>
  <si>
    <t>Оценка. Результаты по итогам 2024 года будут опубликованы на официальном сайте Минфина России в октябре 2025 года. Оценочно - II</t>
  </si>
  <si>
    <t xml:space="preserve">не учитывать </t>
  </si>
  <si>
    <t>*</t>
  </si>
  <si>
    <t>Степень достижения (ДП) показателя 14. 0.1 ГП "Финансы" и динамика его значения по сравнению с предшествующим годом (Дин) рассчитаны по формуле для показателей с направленностью на снижение в связи с тем, что фактическая ориентация показателя 0.1 направлена на снижение (т.е. снижение значения показателя свидетельствует об улучшении ситуации в соответствующей сфере социально-экономического развития Мурманской области, увеличение значения - об ухудшении). Будут внесены изменения в государственную программу в части корректировки направленности указанного показателя на снижение.</t>
  </si>
  <si>
    <t>14.0.1*</t>
  </si>
  <si>
    <t xml:space="preserve">Основной причиной невыполнения показателя является недопоступление доходов в областной бюджет в 2024 году.
</t>
  </si>
  <si>
    <t>Снижение объема привлечения коммерческих кредитов</t>
  </si>
  <si>
    <t>Предварительные данные, установленные на уровне плана. В соответствии с приказом Министерства финансов Мурманской области от 18.11.2021 № 134н "Об утверждении Порядка проведения Министерством финансов Мурманской области мониторинга качества финансового менеджмента" 
Министерство финансов Мурманской области осуществляет оценку качества финансового менеджмента и формирует отчет о результатах мониторинга качества финансового менеджмента в срок до 1 июня 2025 года</t>
  </si>
  <si>
    <t>Предварительные данные, установленные на уровне плана. НИФИ Минфина РФ опубликует рейтинг субъектов на официальном сайте в конце апреля 2025 года</t>
  </si>
  <si>
    <t>Просроченная кредиторская задолженность снизилась на 37,6 млн рублей или на 52 %</t>
  </si>
  <si>
    <t>Мероприятие носит заявительный характер</t>
  </si>
  <si>
    <t>Сведения о достижении значений показателей государственных программ Мурманской области за 2024 год</t>
  </si>
  <si>
    <t>Министерством цифрового развития, связи и массовых коммуникаций Российской Федерации (Минцифры России) измененена методика расчета граждан зарегистрированных в Единой системе идентификации и аутентификации (ЕСИА) - в статистических отчетах Минцифры учитываются только жители региона имеющие подтвержденную учетную запись в ЕСИА.</t>
  </si>
  <si>
    <t>Труднопрогнозируемость точного планирования профилактических и аварийно-восстановительных работ дает небольшую поргешность в достижении значения показателя</t>
  </si>
  <si>
    <t>Итоговые значения показателя формируются  в информационно-аналитической системе мониторинга качества государственных услуг (ИАС МКГУ). Жители Мурманской области высоко оценивают качество предоставления услуг, полученных в МФЦ. Это обусловлено как ежегодно расширяющимся спектром востребованных услуг, так и мероприятиями, направленными на обеспечение качества и доступности их предоставления. 
На базе МФЦ  действует 14 Центров цифровых компетенций «МФЦифра», 6 видеоприемных,  организовано выездное обслуживание населения 28 населенных пунктах, территориально удаленных от административных центров. В Октябрьском отделении МФЦ г. Мурманска функционирует сервис получения результата услуги через постамат – автоматизированный терминал выдачи.              
Целевое значение показателя установлено Указом  Президента РФ от 07.05.2012 № 601 "Об основных направлениях совершенствования системы государственного управления" - не менее 90%.  Постоянной положительной динамики может не быть, т.к. зависит от субъективных оценок конкретных граждан в зависимости от видов услуг, условий , настроения и т.д.</t>
  </si>
  <si>
    <t xml:space="preserve">Развитие цифровой платформы «Наш Север» направлено на массовое вовлечения граждан в решение вопросов городского развития, проведения голосования граждан по решению вопросов городского развития. </t>
  </si>
  <si>
    <t>Количество уникальных активных пользователей цифровой платформы вовлечения граждан в решение вопросов городского развития, на 10 тыс. человек населения</t>
  </si>
  <si>
    <t>Частичное выполнение мероприятия и неполное освоение средств субсидии явилось отсутствие у отдельных муниципальных образований потребности в техническом сопровождении АРМ Муниципал в течение 2024 года, в связи с чем органами местного самоуправления соответствующих муниципальных образований договоры с ФГУ НЦПИ при Минюсте России на техническое сопровождение программного обеспечения не заключались</t>
  </si>
  <si>
    <t>Оценка. По данным Росстата за октябрь-декабрь 2024 года. Срок получения фактических значений в марте 2025 года.</t>
  </si>
  <si>
    <t>Снижение значения показателя по сравнению с плановым значением произошло за счет снижения среднегодовой численности официально зарегистрированных безработных (к концу 2024 года по сравнению с началом года число безработных уменьшилось в 1,5 раза) в связи с обеспечением высокого уровня трудоустройства граждан, обратившихся в службу занятости, а также сохраняющейся высокой потребностью работодателей в работниках (более 11 тыс. вакансий за 2024 год).</t>
  </si>
  <si>
    <t xml:space="preserve">Недостижение показателя произошло из-за выявления скрытых случаев профессиональных заболеваний, симптомы которых умышленно были сокрыты работниками. Кроме того, улучшилось качество проведения периодических медицинских осмотров.  
</t>
  </si>
  <si>
    <t xml:space="preserve">Провести информирование работников (на предприятиях с высоким уровнем профессиональных заболеваемости) по недопущению сокрытия симптомов профессиональных заболеваний с целью принятия превентивных мер, чтобы в дальнейшем они не перешли в профессиональные заболевания.  </t>
  </si>
  <si>
    <t>Перевыполнение показателя обусловлено резким снижением случав производственного травматизма: в 2024 году - 160 несчастных случаев, 2023 год - 200, 2022 год - 219.</t>
  </si>
  <si>
    <t xml:space="preserve">Провести анализ производственного травматизма за 5 лет и при необходимости внести корректировку показателя.  </t>
  </si>
  <si>
    <t>Количество оборудованных (оснащенных) рабочих мест для трудоустройства отдельных категорий граждан (незанятые инвалиды и ветераны боевых действий из числа участников специальной военной операции)</t>
  </si>
  <si>
    <t xml:space="preserve">Снижение значения показателя от планового произошло за счет уменьшения общего числа признанных безработных в 2024 году на 10% по сравнению с предыдущим годом (заявительный характер) </t>
  </si>
  <si>
    <t xml:space="preserve">Невыполнение показателя обусловлено уменьшением  числа безработных к концу 2024 года по сравнению с началом года в 1,5 раза. Это  привело к быстрому снижению (на 0,1 п.п.) среднеобластного уровня безработицы в численности трудоспособного населения. В то же время наивысший уровень безработицы (в Терском районе) к концу 2024 г. снизился на 0,2 п.п. и составил 3,0%. </t>
  </si>
  <si>
    <t>Активизация мер по содействию в трудоустройстве путем направления на получение профессионального обучения или дополнительного профессионального образования, организации проведения временных и общественных работ, содействия самозанятости в Терском районе</t>
  </si>
  <si>
    <t>Участие в Госпрограмме носит добровольный и заявительный характер. В отчетном году отмечена тенденция к снижению заинтересованности иностранных граждан в переселении в регион в рамках участия в Госпрограмме. Внесение изменений в региональную подпрограмму,  в том числе изменение показателей осуществляется через согласование с МВД России и иными заинтересованными федеральными органами исполнительной власти. Для согласования были направлены: проект, предусматривающий снижение показателя до 95 чел, а также расширение перечня потенциальных участников региональной подпрограммы (согласован распоряжение Правительства РФ от 06.11.2024 № 3156-р), а также до 75 чел. (в рассмотрении было отказано МВД России)</t>
  </si>
  <si>
    <t xml:space="preserve">В отчетном году в регион прибыло меньше соотечественников, чем прогнозировалось, из них большое количество семей с несовершеннолетними детьми. </t>
  </si>
  <si>
    <t>Перевыполнение показателя обусловлено хорошей информационной кампанией, проведённой Министерством в 2024 году. Кроме того, на показатель повлияла заморозка работы центра строительства крупнотоннажных морских сооружений и завершение строительных работ, связанных со строительством Мурманского транспортного узла (данные объекты были основным источником прироста несчастных случаев со смертельным исходом на протяжении 2 лет).</t>
  </si>
  <si>
    <t>Перевыполнение плановых значений обусловлено своевременным оказанием первой помощи (на предприятиях) и медицинской помощи, что привело к снижению количества дней временной нетрудоспособности.</t>
  </si>
  <si>
    <t xml:space="preserve">Показатель ухудшился к 2023 году, в связи с увеличение числа легких несчастных случаев в 2024 году.  </t>
  </si>
  <si>
    <t xml:space="preserve">Значительное увеличение показателя произошло из-за выявления скрытых случаев профессиональных заболеваний, симптомы которых умышленно были сокрыты работниками. Кроме того, улучшилось качество проведения периодических медицинских осмотров.   </t>
  </si>
  <si>
    <t xml:space="preserve">Перевыполнение плановых значений обусловлено низким качеством оказания услуг по проведению специальной оценки условий труда. В результате чего приходится повторно (внепланово) проводить специальную оценку условий труда на уже проведённых рабочих местах, а иногда и не по одному разу в год.                                                               Ухудшение показателя по сравнению с 2023 годом обусловлено следующим. Специальная оценка условий труда (СОУТ) проводится 1 раз в 5 лет, таким образом в 2024 году многие рабочие места не полежали повторной СОУТ.  </t>
  </si>
  <si>
    <t xml:space="preserve">Анализ динамики проведения специальной оценки условий труда в общем количестве рабочих мест показал, что достичь показатель в 98% не представляется возможным (средний уровень реализации данного показателя составляет 84%), поскольку:
1. Есть категории работников, в отношении которых специальная оценка условий труда не проводится (в отношении надомников, дистанционных работников и работников, вступивших в трудовые отношения с работодателями - физическими лицами, не являющимися индивидуальными предпринимателями, или с работодателями - религиозными организациями, зарегистрированными в соответствии с федеральным законом).
2. В отношении некоторых работников Министерством труда и социальной защиты РФ не разработана методика проведения СОУТ (государственные гражданские и муниципальные служащие).
3.  Работодатели организуют временные должности на конкретные виды работ (сезонные работы, временные работы и т.д.).
4. Работодатели небольших организаций (от 3 до 6 человек), оказывающие работы и услуги в офисах, не проводят СОУТ, поскольку для них это лишние расходы, а их работники не относятся к работникам рабочих профессий.
5. Некоторые работодатели не проводят СОУТ и повторную СОУТ, поскольку с 2020 года был введен мораторий на проверки.
Несмотря на это, перечисленные работники относятся к общей численности работников, осуществляющих трудовую деятельность на территории Мурманской области </t>
  </si>
  <si>
    <t>Ввиду объективных причин в 2025 году показатель «Удельный вес рабочих мест, на которых проведена специальная оценка условий труда, в общем количестве рабочих мест» будет пересмотрен путем исключения из общего числа работников лиц, в отношении которых СОУТ не проводится.</t>
  </si>
  <si>
    <t xml:space="preserve">Недостижение показателя обусловлено:
- принятием новой методики проведения специальной оценки условий труда (СОУТ) (Приказ Минтруда России от 21.11.2023 № 817н);
- проведением СОУТ на оборудовании, которое подверглось амортизации (на котором ранее проводились замеры) и вследствие чего ухудшились параметры безопасности (оборудование стало более шумным, более теплопроводным, и т.п.).
</t>
  </si>
  <si>
    <t xml:space="preserve">Не требует изменения, по результатам следующего года показатель выровняется.  </t>
  </si>
  <si>
    <t>Превышение показателя обусловлено фактическим снижением численности работников, занятых во вредных и (или) опасных условиях труда, по большей мере это связано с заморозкой работы центра строительства крупнотоннажных морских сооружений, большая часть работников 75% трудились вредных и (или) опасных условиях труда.</t>
  </si>
  <si>
    <t xml:space="preserve">Оперативная обстановка на территории Мурманской области в 2024 году характеризовалась снижением числа зарегистрированных преступлений (-3,2%; с 12477 до 12076; СЗФО: -4,7%; Россия: -1,8%), в том числе на 2,1% – относящихся к категории тяжких и особо тяжких, чему в значительной степени способствовали принимаемые предупредительные и профилактические меры. </t>
  </si>
  <si>
    <t>Превышение фактического показателя количества пострадавших над плановым связано с ЧС техногенного характера - в результате железнодорожной аварии 18.12.2024 на станции Княжая, погибло 2 и пострадало 43 человека.</t>
  </si>
  <si>
    <t>Доля несовершеннолетних, в отношении которых прекращена индивидуальная профилактическая работа по причине улучшения ситуации, от общего количества несовершеннолетних, в отношении которых органами и учреждениями системы профилактики прекращена индивидуальная профилактическая работа</t>
  </si>
  <si>
    <t xml:space="preserve">Состояние преступности в общественных местах характеризуется снижением числа совершенных преступлений (-1,7%; с 3335 до 3277), большая часть из них (2789; 85,1%) связана с посягательством на собственность. Значительно сократилось количество уличных преступлений (-16,9%; с 1139 до 946). Аналогичная тенденция наблюдается на территории СЗФО (-16,7%) и России (-19,1%). </t>
  </si>
  <si>
    <t>Превышение планового показателя связано с повышением эффективности проведения профилактической работы субъектами системы профилактики безнадзорности и правонарушений несовершеннолетних</t>
  </si>
  <si>
    <t>В 2024 году в мероприятиии приняли участие 368 человек, что превысило плановое количество участников (200).                                         В 2023 году мероприятие проводилось в 2 этапа (количество учостников-479 чел.), в 2024 году - в 1 этап</t>
  </si>
  <si>
    <t xml:space="preserve">Продолжение сотрудничества с образовательными учтеждениями, учреждениями культуры, дополнительного и дошкольного образования. </t>
  </si>
  <si>
    <t>Темп роста (снижения) времени оперативного реагирования на пожары (к 2020 году)</t>
  </si>
  <si>
    <t>Снижение среднего ущерба, приходящегося на один пожар (к 2020 году)</t>
  </si>
  <si>
    <t xml:space="preserve">Темп роста (снижения) времени реагирования аварийно-спасательных служб на происшествия и ЧС (к 2020 году)
</t>
  </si>
  <si>
    <t>Снижение времени оперативного реагирования по сравнению с 2020 годом обусловлено постоянным совершенствованием действий в ходе учений и занятий личным составом пожарно-спастельной службы Мурманской области, а также своевременно предпринятыми действиями для ликвидации пожаров</t>
  </si>
  <si>
    <t xml:space="preserve">В 2024 году, при общем снижении количества пожаров, зафиксирован рост количества пожаров с большим материальным ущербом. За отчетный период на территории региона в силу различных причин (позднее сообщение о пожаре, удаленность места пожара, отсутствие пожарной сигнализации и пр.) произошло 7 пожаров с максимальными зафиксированными убытками на общую сумму 52 038,85 тыс. руб. (средний ущерб осотавил 7 434,12 тыс.руб. на каждый данный случай). </t>
  </si>
  <si>
    <t>Внесены изменения в новую редакцию государственной программы: данный показатель исключен в связи с выявлением сильного воздействия на фактическое значение показателя факторов, на которые отсутствует возможность влияния, а именно, размер ущерба, нанесенного пожаром</t>
  </si>
  <si>
    <t>Снижение времени оперативного реагирования обусловлено постоянным совершенствованием действий в ходе учений и занятий личным составом ававрийно-спастельной службы Мурманской области</t>
  </si>
  <si>
    <t>Недостижение планового значения показателя связано с выходом из строя части средств оповещения в г. Оленегорске, возможность восстановления которых отсутствует  по причине отсутствия ЗИП и ремонтных комплектов, выпуск которых заводом изготовителем в настоящее время прекращен</t>
  </si>
  <si>
    <t>Внесены изменения в новую редакцию государственной программы: в связи с вступлением в силу 17.09.2024 решения об одностороннем расторжении государственного контракта из-за неисполнения взятых на себя обязательств ООО «А-Лизинг» по  построению АПК «Безопасный город» и передачу его в лизинг, в рамках которого должна была быть завершена реконструкция системы оповещения, уменьшены плановые значения данного показателя</t>
  </si>
  <si>
    <t>Не достижение планового значения показателя связано с большим объемом выданного на безвозвратной основе из резерва имущества и снаряжения мобилизованным гражданам и органам военного управления для обеспечения специальной меры в сфере экономики в связи с проведением специальной военной операции</t>
  </si>
  <si>
    <t>Выделение дополнительных средств для восполнения резерва материальных ресурсов Правительства Мурманской области</t>
  </si>
  <si>
    <t>Превышение планового значения показателя связано с большим количеством поступающих заявок на обучение после формирования годового плана комплектования для обучения, что не возможно было предвидеть заранее</t>
  </si>
  <si>
    <t>Внесены изменения в новую редакцию государственной программы: увеличены плановые значения показателя «Количество должностных лиц, прошедших обучение по программам дополнительного профессионального образования в области гражданской обороны в учебно-методическом центре» по результатам анализа годовых планов комплектовании для обучения и фактического значения  показателя за период 2022-2024 годов</t>
  </si>
  <si>
    <t>Неполное освоение средств и частичное выполнение мероприятия связано с неисполнением контрагентами взятых обязательств по поставке оборудования и запасных частей и расторжением заказчиком контрактов в одностороннем порядке</t>
  </si>
  <si>
    <t>Неполное освоение средств связано с неисполнением в текущем году контрагентом взятых обязательств по технологическому присоединению смонтированной трансформаторной подстанции к электросетям по причине изменения расположения точки технологического присоединения из-за отказа в выдаче разрешения на использование земельного участка под строительство</t>
  </si>
  <si>
    <t>Частичное выполнение мероприятия по изготовлению подарочной и сувенирной продукции для вручения на официальных мероприятиях, деловых встречах связано с несостоявшейся закупкой (отсутствие заявок)</t>
  </si>
  <si>
    <t>Оценка эффективности реализации государственных программ Мурманской области в 2024 году</t>
  </si>
  <si>
    <t>Динамика значений показателей по сравнению с 2023 годом</t>
  </si>
  <si>
    <t xml:space="preserve">Активное использование регионального кадрового резерва Мурманской области при назначении на должности гражданской службы в исполнительных органах Мурманской области      </t>
  </si>
  <si>
    <t xml:space="preserve">Положительные отклонения от плана связаны с исполнением пункта 2 перечня поручений Президента Российской Федерации от 04.01.2017 № Пр-32 в части сокращения дефицита регионального бюджета и уровня государственного долга Мурманской области путем вовлечения в хозяйственный оборот неиспользуемого государственного имущества Мурманской области, выявленного в рамках инвентаризации.  В результате с каждым годом количество неиспользуемого имущества активно вовлекается областными учреждениями. </t>
  </si>
  <si>
    <t>Качественное проведение правовой экспертизы муниципальных нормативных правовых актов позволило обеспечить устранение органами местного самоуправления выявленных несоответствий законодательству по большинству отрицательных экспертных заключений (97,5%) и превысить соответствующее значение планового показателя.</t>
  </si>
  <si>
    <t>За 2024 год приведены оценочные (прогнозные) данные - согласно разделу 9 постановления Правительства Мурманской области от 11.11.2020 № 793-ПП дата получения фактических значений показателя - 1 мая года, следующего за отчетным</t>
  </si>
  <si>
    <t>Гражданские служащие принимали активное участие в различных мероприятиях по профессиональному развитию (некоторые гражданские служащие ИО МО приняли участие в нескольких мероприятиях профессионального развития). Отрицательная динамика значения показателя по сравнению с предшествующим годом связана с тем, что в 2023 году проводились дополнительные мероприятия по профессиональному развитию в рамках субсидии из областного бюджета автономной некоммерческой организации «Проектный офис «Арктический элемент» на финансовое обеспечение затрат на проведение мероприятий, направленных на развитие кадрового потенциала.</t>
  </si>
  <si>
    <t>Причиной перевыполнения плана явилась возможность привлечения  большего количества представителей муниципальных команд для участия в мероприятиях, проводимых в рамках проекта "Школа муниципального управления". Отсутствие положительной динамики по сравнению с 2023 годом обусловлено проведением в 2024 году регионального муниципального форума в рамках субсидии, предоставленной АНО "СпортКульт51", тогда как в 2023 году форум проводился в рамках субсидии, предоставленной Ассоциации, и участники форума учитывались в данном показателе.</t>
  </si>
  <si>
    <t>Отклонение от планового значения сложилось в связи с качественным проведением правовых экспертиз в отношении всех проектов правовых актов Губернатора и Правительства Мурманской области, выявлением несоответствий законодательству и их устранением, эффективным организационно-методическим руководством деятельностью юридических служб исполнительных органов Мурманской области.</t>
  </si>
  <si>
    <t xml:space="preserve">Превышение фактического показателя над плановым значением обусловлено увеличением количества новых категорий граждан, имеющих право на получение бесплатной юридической помощи, а также расширением перечня вопросов, по которым граждане вправе  получать юридическую помощь бесплатно, в связи с принятием Закона Мурманской области от 23.06.2023 № 2899-01-ЗМО "О внесении изменений в статью 10.3 Закона Мурманской области "О государственной системе бесплатной юридической помощи на территории Мурманской области". Отклонение связано со значительным количеством обращений к адвокатам за оказанием бесплатной юридической помощи участников СВО и членов их семей. Вопросы, по которым обращаются указанные категории граждан, касаются предоставление льгот, социальных гарантий и компенсаций, обеспечения денежным довольствием военнослужащих и предоставления им отдельных выплат в соответствии с Федеральным законом от 07.11.2011 № 306-ФЗ "О денежном довольствии военнослужащих и предоставлении им отдельных выплат", признания граждан из числа участников СВО (за исключением членов их семей), безвестно отсутствующими или объявлении их умершими, наследования имущества умерших (погибших) граждан из числа участников СВО. </t>
  </si>
  <si>
    <t>По результатам проведенного в Мурманской области социологического исследования о состоянии "бытовой" коррупции в 2024 году наблюдается незначительное увеличение. Рост данного показателя связан с возникшими у граждан жизненными трудностями, включая проблемы финансового характера, по причине объективных проблем в экономике страны, в том числе в связи с продолжающимся санкционным давлением</t>
  </si>
  <si>
    <t>Повышение информированности граждан, в особенности молодежи, о проводимой в регионе антикоррупционной деятельности, в том числе работе правоохранительных и надзорных органов по выявлению нарушений антикоррупционного законодательства, с разъяснением рисков и последствий несоблюдения антикоррупционного законодательства</t>
  </si>
  <si>
    <t>В результате профилактической работы  Управлением по реализации антикоррупционной политики Мурманской области , а также работы федеральных органов по  предупреждению и пресечению правонарушений и преступлений коррупционной направленности, уровень "деловой" коррупции снижается. Отсутствие положительной динамики обусловлено  сложностями в ведении бизнеса в связи с экономической ситуацией в стране, ростом инфляции, ключевой ставки и как следствие-расходами на развитие производства и предпринимательской деятельности. Вместе с тем, рост показателя на 0,6 % не выходит за пределы статистической погрешности по нему и обусловлен особенностями проведения выборки респондентов.</t>
  </si>
  <si>
    <t>Оказание помощи предпринимательскому сообществу в ведении бизнеса путем консультаций по правовым вопросам, в том числе о способах решения возникающих вопросов в предпринимательской деятельности без нарушения антикоррупционного законодательства</t>
  </si>
  <si>
    <t>Сверх запланированного осуществлена регистрация права государственной собственности Мурманской области в отношении 150 земельных участков, принятых на безвозмездной основе от АО "МЭС",  и 17 земельных участков в рамках приема в областную собственность муниципального унитарного предприятия "Ковдорводоканал"  в целях консолидации объектов электро-, водоснабжения и водоотведения</t>
  </si>
  <si>
    <t xml:space="preserve">Увеличение показателя связано с тем, что в отчетном периоде было скорректировано в сторону увеличения количество принятых в казну объектов движимого имущества в составе имущественного комплекса котельной в п. Никель в соответствии с постановлением Правительства Мурманской области от 07.10.2024 № 305-РП, которые переданы в аренду АО «МЭС». </t>
  </si>
  <si>
    <t>Увеличение количества организаций на 1 единицу связано с тем, что  в 2024 году в государственную собственность Мурманской области приняты обыкновенные акции АО «Мончегорские электрические сети» в количестве  1 498 809 штук в соответствии с распоряжением Правительства Мурманской области от 13.05.2024 № 147-РП</t>
  </si>
  <si>
    <t xml:space="preserve">Отклонение от планового значения  произошло за счет увеличения количества мероприятий и их участников </t>
  </si>
  <si>
    <t>В связи с проведением крупных мероприятий:  Дня молодежи, Форума рабочей молодежи, комплекса мероприятий, посвященных празднованию 80-летия разгрома немецко-фашистских войск в Советском Заполярье</t>
  </si>
  <si>
    <t>В связи с проведением крупных и юбилейных мероприятий, в т.ч. федерального уровня, где необходимо привлечение волонтерского корпуса</t>
  </si>
  <si>
    <t>Отклонение от планового значения  произошло за счет увеличения количества мероприятий, направленных на укрепление общероссийского гражданского единства, в том числе, посвященных государственным праздникам Российской Федерации (День Победы. День России, День единства, День государственного флага, День Конституции)</t>
  </si>
  <si>
    <t>Отклонение от планового значения  произошло за счет увеличения количества мероприятий, направленных на этнокультурное развитие народов России, в том числе День славянской письменности, Всероссийская просветительская акция, Большой этнографический диктант</t>
  </si>
  <si>
    <t xml:space="preserve">Отклонение от планового значения произошло за счет проведения разъяснительной работы с гражданами Мурманской области по вопросам позитивного вклада иностранных граждан в экономическое развитие региона и внедрения адаптационного курса для иностранных граждан «Содействие адаптации трудящихся-мигрантов, прибывших в Российскую Федерацию в порядке, не требующем получения визы, а также для граждан государств–участников ЕАЭС», разработанного ФАДН России. Отсутствие положительной динамики обусловлено, тем, что данные показателя  в 2023 году  внесены в отчет  на основании исследования Федеральной  службы охраны Российской Федерации (ФСО).   Эти данные превысили планируемые показатели госпрограммы.  В 2024 году показатель  определялся через  анкетирование </t>
  </si>
  <si>
    <t>Отклонение от планового значения показателя произошло по следующим основаниям. В Мурманской области зарегистрировано 7 казачьих обществ, 5 из них внесено в реестр казачьих обществ в Российской Федерации, 2 - зарегистрированы в декабре 2024 года и еще не вступили в названный реестр. В связи с этим количество членов казачьих обществ в 2024 году существенно увеличено, а принявших на себя обязательства по несению государственной или иной службы, от общего числа членов казачьих обществ - снижено, что привело к отклонению от исполнения планового показателя.</t>
  </si>
  <si>
    <t>Отклонение в 2024 году произошло за счет увеличения количества участников мероприятия. Отсутствие положительной динамики по данному показателю в сравнении с 2023 годом произошло в следствии установления показателя нефинансовым соглашением с ФАДН России (дополнительное соглашение к соглашению о реализации на территории
Мурманской области государственных программ субъекта Российской
Федерации, направленных на достижение целей и показателей
государственной программы Российской Федерации "Реализация
государственной национальной политики" от 20.12.2023 № 2022-00976/1)</t>
  </si>
  <si>
    <t xml:space="preserve">Отклонение вызвано тем, что в  2024 году  были проведены  капитальные и текущие ремонты зданий и помещений судебных участков мировых судей Мурманской области на общую сумму 67,4 млн. рублей (судебные участки Североморского судебного района, Александровского судебного района, Кировского судебного района, Апатитского судебного района), которые значительно повысили качество помещений судебных участков мировых судей Мурманской области. </t>
  </si>
  <si>
    <t>70</t>
  </si>
  <si>
    <t xml:space="preserve"> Результат проведения социологического исследования</t>
  </si>
  <si>
    <t>Аппарат Правительства МО, Министерство юстиции МО, Министерство внутренней политики МО, Министерство строительства МО, Министерство градостроительства и благоустройства МО, Управление по реализации антикоррупционной политики МО, ГОКУ «Представительство Правительства Мурманской области», ГОБУ «Автобаза Правительства Мурманской области», ГОБУ «Управление по обеспечению деятельности Правительства Мурманской области», ГОКУ «Управление капитального строительства Мурманской области», АНО "Проектный офис "Арктический Элемент", АНО «Арктический информационный центр»,  некоммерческая организация Ассоциация «Совет муниципальных образований Мурманской области», АНО "СпортКульт51"</t>
  </si>
  <si>
    <t>Министерство имущественных отношений МО, ГОБУ «Имущественная казна Мурманской области», ГОКУ «Центр технической инвентаризации»</t>
  </si>
  <si>
    <t>Экономия средств в связи с заявительным характером выплат, по результатам проведения электронного аукциона</t>
  </si>
  <si>
    <t>Министерство информационной политики МО,
ГОАУ «Редакция газеты «Мурманский вестник», автономная некоммерческая организация «Арктический информационный центр»</t>
  </si>
  <si>
    <t>Средства израсходованы в соответствии с фактически сложившейся потребностью, также экономия сложилась в связи с заявительным характером некоторых мероприятий</t>
  </si>
  <si>
    <t>Средства субсидии израсходованы в соответствии с фактически сложившейся потребностью</t>
  </si>
  <si>
    <t>Аппарат Правительства МО, Министерство юстиции МО, Министерство внутренней политики МО, Министерство имущественных отношений МО, Министерство спорта МО, Министерство информационной политики МО, Министерство строительства МО, Министерство градостроительства и благоустройства МО, Комитет молодежной политики МО, Управление по реализации антикоррупционной политики МО, ГОКУ «Представительство Правительства Мурманской области», ГОБУ «Автобаза Правительства Мурманской области», ГОБУ «Управление по обеспечению деятельности Правительства Мурманской области», ГОКУ «Управление капитального строительства Мурманской области», ГОБУ «Имущественная казна Мурманской области», ГОКУ «Центр технической инвентаризации», ГОБУМП «Региональный центр патриотического воспитания и допризывной подготовки молодежи», ГОБУ «Мурманский областной центр коренных малочисленных народов Севера и межнационального сотрудничества» (Центр народов Севера), ГАУМО «Центр спортивной подготовки», ГОКУ «Центр обеспечения судебных участков мировых судей Мурманской области», ГОАУ «Редакция газеты «Мурманский вестник», АНО «Арктический информационный центр», государственное автономное учреждение Мурманской области «Молодая Арктика», АНО  "Проектный офис "Арктический Элемент", некоммерческая организация Ассоциация "Совет муниципальных образований Мурманской области",  автономная некоммерческая организация "Агентство по проведению спортивно-массовых и культурно-зрелищных мероприятий "СпортКульт51" (АНО "СпортКульт51")</t>
  </si>
  <si>
    <t xml:space="preserve">Снижение объемов производства продукции животноводства. Предварительные данные. Итоговые сентябрь 2025 года. Расчетный показатель. Для расчета используются данные Мурманстата формы 041741198 </t>
  </si>
  <si>
    <t>Будет проведен анализ прогнозируемого объема вылова водных биоресурсов с изучением влияния фактора изменения научнообоснованных квот вылова водных биоресурсов в качестве фактора риска.</t>
  </si>
  <si>
    <t>Перевыполнение показателя связано со значительным увеличение продуктивности молочного скота.</t>
  </si>
  <si>
    <t xml:space="preserve">Доля техники с года выпуска которой прошло более 10 лет в хозяйствах области в отчетном составляет 55,8 % (120/215 ед.).
Увеличение доли техники старше 10 лет произошло по причине активного приобретения техники предприятиями в период с 2010 по 2016 годы (в настоящее время происходит переход этой техники в категорию «старше 10 лет»)
</t>
  </si>
  <si>
    <t xml:space="preserve"> Снижение связано с сокращением стада СХПК "Тундра" по причине высокого непроизводительного отхода поголовья в 2024 году</t>
  </si>
  <si>
    <t>Снижение объема производства продукции товарной аквакультуры связана с существенным снижением планируемых показателей по росту объемов производства  ООО «Инарктика СЗ» и ООО «Русский Лосось» из-за неблагоприятных природно-климатических условий и заболезания рыбы.</t>
  </si>
  <si>
    <t xml:space="preserve">Снижение объема экспорта рыбы и морепродуктов к уровню 2023 года связано со сложившейся геополитической ситуацией, повлекшей сокращение зарубежных рынков сбыта рыбной продукции, а также снижением вылова трески и пикши. </t>
  </si>
  <si>
    <t>Увеличение количества сформированных рыболовных участков связано с  количеством поступающих  заявок на формирование рыболовных участков</t>
  </si>
  <si>
    <t>Увеличение количества сформированных рыбоводных участков связано с количеством поступающих  заявок на формирование рыбоводных участков</t>
  </si>
  <si>
    <t xml:space="preserve">Превышение запланированных на 2024 год объемов продаж рыбной продукции связано с реализацией в рамках проекта популярной у населения продукции (треска, пикша, мойва) </t>
  </si>
  <si>
    <t>Снижение показателя к уровню 2023 года обусловлено установлением более низкого показателя (30,3 км), утвержденного приказом Минсельхоза России от 02.02.2023 № 65</t>
  </si>
  <si>
    <t>млн. долларов США</t>
  </si>
  <si>
    <t>Летом 2023 года зарегистрировано 2 очага в дикой природе высокопатогенного гриппа птиц (чаек) в районах н.п. Териберка и Ура-Губа. В 2024 году случаи возникновения очагов особо опасных болезней животных отсутствовали.</t>
  </si>
  <si>
    <t>Приказом Комитета от 22.04.2024 № 39-од установлены ограничительные мероприятия по хламидиозу (энзоотическому аборту овец) на территории н.п. Зверосовхоз Кольского района (в ЛПХ Богуша В.М. несанкционировано ввезено 60 голов овец из Ленинградской области) и утвержден План мероприятий по ликвидации и предотвращению распространения болезни.. По окончании проведения комплекса оздоровительных мероприятий  Приказом Комитета от 19.08.2024 № 78-од карантин отменен.</t>
  </si>
  <si>
    <t>Ветеринарно-санитарной экспертизе подвергнуто 477977,5 т поступившей в регион продукции животного происхождения, из которой некачественной и опасной продукции не выявлено. Таким образом, доля выявленной в 2024 году некачественной и опасной пищевой продукции животного происхождения при проведении ветеринарно-санитарной экспертизы составила 0 %  (план – 0,04 %). По сравнению с 2023 годом данный показатель указывает на высокое качество в ветеринарном отношении поступающей продукции.</t>
  </si>
  <si>
    <t xml:space="preserve">Плановый показатель неактуален и не соответствует показателю государственного задания. Кроме этого, показатель достигнут ниже показателя 2023 года по причине продолжающего снижения поголовья сельхоз животных повергаемого вакцинации (на 01.01.2024 - 5726 голов КРС, 3126 голов свиней; на 31.12.2024 - 5180 голов КРС, 1703 головы свиней). </t>
  </si>
  <si>
    <t>Перевыполнение показателя  связано с изменением правил по профилактике бруцеллеза в части увеличения кратности диагностических исследований и перечня исследуемого поголовья (добавлен МРС). Снижение динамики по сравнению с 2023 годом связано со снижением поголовья животных, подвергаемых диагностическим исследованиям.</t>
  </si>
  <si>
    <t xml:space="preserve">В 2024 году проведены контрольные (надзорные) мероприятия: 23 профилактических визитов в приюты для животных, в результате объявлено 24 предостережения о недопустимости нарушения обязательных требований, все предостережения выполнены; осуществлено 4 внеплановые выездные проверки, по результатам которых выдано 4 предписания, 2 из которых не выполнены. </t>
  </si>
  <si>
    <t>Из 589 граждан, подвергшихся нападениям и укусам животными, 350 случаев связано с нападениями и укусами животными без владельцев, что сотавило 59%. Необходимо отметить, что растет число агрессивных животных среди стерилизованных животных без владельцев.</t>
  </si>
  <si>
    <t xml:space="preserve">Количество объектов, в которых проведен капитальный ремонт в рамках подпрограммы
</t>
  </si>
  <si>
    <t>Количество благоустроенных общественных пространств на сельских территориях</t>
  </si>
  <si>
    <t>10.5.3</t>
  </si>
  <si>
    <t>10.5.4</t>
  </si>
  <si>
    <t xml:space="preserve">Индекс производства продукции сельского хозяйства (в сопоставимых ценах) к уровню 2020 года
</t>
  </si>
  <si>
    <t>Перечисление межбюджетных трансфертов (субвенций) производится в соответствии с фактически поступившими заявками от ОМСУ Мурманской области</t>
  </si>
  <si>
    <t>Снижение получателей ежемесячного пособия в связи с новым единым пособием, выплачиваемым Фондом пенсионного и социального страхования Российской Федерации</t>
  </si>
  <si>
    <t>Оценка. Факт указан на уровне планового значения. Показатель рассчитывается Росстатом: первая оценка результатов 2024 года будет известна в апреле 2025 года, итоговое значение - в апреле 2026 года.</t>
  </si>
  <si>
    <t>Увеличение численности детей-сирот, переданных на воспитание в замещающие семьи связано с увеличением численности кандидатов, желающих принять детей-сирот на воспитание</t>
  </si>
  <si>
    <t>Предварительные данные. Итоговая оценка 2024 года будет опубликована Мурманскстатом в июле 2025 года</t>
  </si>
  <si>
    <t>Оценка, показатель рассчитан исходя из прогноза среднемесячного дохода от трудовой деятельности, предусмотренного прогнозом социально-экономического развития Мурманской области на 2024 год и плановый период 2025 и 2026 годов (постановление ПМО от 31.10.2023 № 790-ПП). Оценка достижения показателя осуществляется на основании официальной статистической информации, размещаемой на сайтах Росстата и Мурманскстата. В настоящее время публикация информации о заработной плате отдельных категорий работников социальной сферы и науки, а также информации о среднемесячной начисленной заработной плате наемных работников в организациях, у ИП и физических лиц органами статистики приостановлена. С учетом изложенного осуществить оценку достижения показателя будет возможно только после возобновления размещения вышеуказанной информации на официальных сайтах органов статистики.</t>
  </si>
  <si>
    <t>Изменение в течение года количества поставщиков, включенных в реестр.
Всего 51 поставщик, из них 29 негосударственных поставщиков</t>
  </si>
  <si>
    <t>Заявительный принцип. Увеличение на федеральном уровне лимитов количества заключенных соцконтрактов</t>
  </si>
  <si>
    <t>Данные за 2024 год приведены по итогам мониторинга социально-экономического и правового положения инвалидов, проживающих в Мурманской области (приказ Министерства труда и социального развития Мурманской области от 07.11.2024 № 722, сроки проведения - с 11.11.2024 по 31.12.2024). Всего в опросе приняло участие 200 граждан с инвалидностью. Вместе с тем стоит отметить, что только 8,1 % опрошенных граждан отрицательно оценивают уровень доступности учреждений системы социальной защиты населения, а 73 % опрошенных граждан с инвалидностью удовлетворены уровнем социального обслуживания.</t>
  </si>
  <si>
    <t>В целях улучшения значения показателя в Мурманской области будет продолжена работа по повышению уровня доступности объектов и услуг в приоритетных сферах жизнедеятельности инвалидов и других маломобильных групп населения, в том числе в рамках комплексной программы Мурманской области "Доступный Север"</t>
  </si>
  <si>
    <t>Увеличение финансирования на организацию оздоровления</t>
  </si>
  <si>
    <t>Недостижение показателя связано со следующими причинами: 
- подали заявление о переносе срока предоставления жилья в связи с обучением на 2025 год – 10 человек,
- подали заявление о переносе срока предоставления жилья в связи с обучением (на 2026-2029 годы) – 2 человека,
- распределены квартиры в новостройке по ул. Успенского, оформляются документы для передачи жилья в 2025 году – 2 человекам,
- исключены из списка и не нуждаются в предоставлении жилого помещения по причине восстановления родителей в родительских прав, получения наследства и др. – 8 человек,
- признаны недееспособными – 35 человек, 
- находятся в процессе признания недееспособными – 3 человека,
- находятся в местах лишения свободы – 7 человек,
- проходят службу в Вооруженных Силах РФ – 9 человек,
- находится в зоне СВО – 1 человек, 
- подали заявление о согласовании включения в список в другом субъекте РФ – 2 человека,
- проживают за пределами региона – 5 человек, 
- проживают за пределами РФ – 5 человек,
- признан безвестно отсутствующим – 1 человек,
- выданы свидетельства, но не реализованы в 2024 году – 10 человек, 
- не приобретены жилые помещения ввиду несостоявшихся аукционов – 9 человек.</t>
  </si>
  <si>
    <t>В целях улучшения значения показателя Министерством образования и науки Мурманской области в 2024 году разработан и принят Мурманской областной Думой Закон Мурманской области от 01.10.2024 № 3030-01-ЗМО «О внесении изменений в Закон Мурманской области «О дополнительных гарантиях по социальной поддержке детей-сирот и детей, оставшихся без попечения родителей» в части предоставления лицам из числа детей-сирот свидетельства о праве на получение социальной выплаты на приобретение жилого помещения в Мурманской области. За счет свидетельств в 2024 году приобрел жилье в собственность согласно своим пожеланиям (место расположения, общая площадь, этаж и др.) 31 человек, что значительно повлияло на достижение показателя. 10 человек, получивших свидетельства в конце 2024 года продолжают подбор квартир в 2025 году.</t>
  </si>
  <si>
    <t xml:space="preserve">Увеличение численности детей-сирот, обеспеченных жильем по договорам найма специализированных жилых помещений за счет средств субвенции, связано с увеличением количества поданных заявок на электронные аукционы по закупке квартир для детей-сирот. Аукционы признаны состоявшимися, квартиры закуплены. Кроме того, в соответствии с постановлением Правительства Мурманской области от от 02.03.2020 № 77-ПП "Об утверждении правил предоставления местным бюджетам субвенций на осуществление органами местного самоуправления отдельных государственных полномочий" органам местного самоуправления компенсируется стоимость квартир из муниципального жилищного фонда, включенных в специализированный жилищный фонд для детей-сирот. </t>
  </si>
  <si>
    <t xml:space="preserve">Квартирами за счет средств федерального бюджета обеспечены 9 человек, вместо запланированных по соглашению 6 человек (за счет экономии средств, образовавшейся по результатам аукционов). </t>
  </si>
  <si>
    <t>Увеличение численности детей, в отношении которых оформлен социальный патронат, связан с увеличением численности граждан, желающих его осуществлять</t>
  </si>
  <si>
    <t>Большинство мероприятий по предоставлению мер поддержки не выполнены или выполнены частично в связи с их заявительным характером. Фактические затраты по ВБС превысили плановые объемы финансирования в связи с увеличением численности женщин, нуждающихся в ЭКО</t>
  </si>
  <si>
    <t xml:space="preserve">Финансирование произведено в соответствии с заявками ОМСУ, предоставление ЕЖКВ носит заявительный характер </t>
  </si>
  <si>
    <t>Полигон твердых коммунальных отходов и мусоросортировочный комплекс в с.п. Междуречье Кольского района</t>
  </si>
  <si>
    <t xml:space="preserve">Министерство энергетики и жилищно-коммунального хозяйства Мурманской области, АО "Ситиматик"
</t>
  </si>
  <si>
    <t xml:space="preserve">2021 год - строительство 2 и 3 карты полигона ТКО;
2022 год - строительство 4 карты полигона ТКО;
2024 - 2025 годы - продолжение работ
</t>
  </si>
  <si>
    <t>В связи с изменением места строительства МПС в Печенгском районе , ведутся работа по выделению земельного участка в п. Никель. Паралельно проводится  проектирование на выполнение проектно-изыскательских работ по объекту.</t>
  </si>
  <si>
    <t>2023 - 2025строительство</t>
  </si>
  <si>
    <t xml:space="preserve">,
1146727,8
</t>
  </si>
  <si>
    <t xml:space="preserve">Техническая готовность - 37%.     
Выполнено: установка ограждений, подготовительный период, погружение  железобетонных свай (1025шт.); устройство котлована под фундамент здания; устройство свайного поля; устройство бетонной подготовки и армирование свайных; бетонирование свайных ростверков; устройство монолитных (подпорных стен) подвала; устройство бетонной подготовки под плиту большой чаши бассейна;
Отставание от графика обусловлено рядом причин:
- увеличение сроков поставки оборудования, в связи с тем, что часть оборудования, предусмотренного проектной документацией, была снята с производства из-за санкций, введенных против Российской Федерации недружественными странами; необходимость внесения изменений в конструктив бассейна, что повлекло необходимость корректировки проектной документации и, как следствие, отставание от графика; дефицит квалифицированных трудовых кадров, а также долгая процедура согласования допуска на территорию ЗАТО г. Североморск рабочих, являющихся гражданами Российской Федерации;  фактический запрет на привлечение граждан иностранных государств (процедура согласования более 6 месяцев с ограниченным условиями и сроком пребывания). </t>
  </si>
  <si>
    <t xml:space="preserve">Техническая готовность 0,8%.       
В процессе производства работ по разработке грунта были выявлены многочисленные фундаменты, неучтенные проектной документацией. Концессионером были приостановлены работы ввиду неучтенных проектной документацией дополнительных работ по демонтажу.  Минстроем до концессионера доведена информация, что остановка строительно-монтажных работ может привести к срыву сроков реализации Концессии. Подрядчик должен приступить к земляным работам с целью разработки проектного объема земляных масс. 
</t>
  </si>
  <si>
    <t xml:space="preserve">
Концессионером разработано техническое задание, 
заключен договор генподряда с ООО "Ригил" на корректировку проектной документации и проведение строительно-монтажных работ. </t>
  </si>
  <si>
    <t xml:space="preserve">Справочно: на объект предусмотрены дополнительные средства МБ
Техническая готовность - 93%. 
Ведется монтаж внутренних перегородок, шпатлевка вновь возводимых перегородок, прокладка инженерных сетей. 
 В осенний период произошла аварийная ситуация 
на существующих внутриплощадочных сетях инженерно-технического обеспечения, что, в свою очередь, повлияло на техническое состояние существующих конструкций здания. Данные обстоятельства привели 
к необходимости корректировки ранее принятых проектных решений в части разработки дополнительных конструктивных решений.
Заказчиком 20.11.2024 остановлено дальнейшее производство строительно-монтажных работ, связанных несущими конструкциями, 
и принято решение о проведении технического обследования состояния здания Ледового дворца с целью дальнейшей корректировки проектных решений.
Подрядной организацией, выполняющей работы по реконструкции Объекта, заключен договор со специализированной организацией, которая будет выполнять обследование технического состояния здания. В настоящее время организация, а также программа проведения обследования согласованы с Министерством государственного жилищного и строительного надзора Мурманской области. </t>
  </si>
  <si>
    <t xml:space="preserve">Контракт на приобретение в муниципальную собственность недвижимого имущества № 1/10-2023 от 18.10.2023 с ООО "Наяда" заключен </t>
  </si>
  <si>
    <t xml:space="preserve">Контракты на приобретение в муниципальную собственность недвижимого имущества № 2/10-2023 и № 3/10-2023 от 27.10.2023 с ИП Блинский В.Г. заключены </t>
  </si>
  <si>
    <t xml:space="preserve">Строительство быстровозводимого бассейна в пгт. Печенга
</t>
  </si>
  <si>
    <t xml:space="preserve">Минстрой МО, администрация Печенгского Муниципального округа
</t>
  </si>
  <si>
    <t xml:space="preserve">2023 - 2024 гг. - проектирование, 
 2025 г. - строительство
</t>
  </si>
  <si>
    <t xml:space="preserve">
362 210,1
(стоимость будет определена после разработки ПСД)
</t>
  </si>
  <si>
    <t xml:space="preserve">В рамках субсидии 2024 года выполнены инженерно-геологические изыскания. Завершение работ по разработке проектной документации в 2025 году </t>
  </si>
  <si>
    <t xml:space="preserve">Техническая готовность - 90%.  Здание школы 1 этап - работы завершены, получено разрешение на ввод объекта в эксплуатацию от 28.12.2024 № 51-20-806-02024.
Продолжаются работы по 2 этапу (Спортивное ядро, 2 этап). Скорретирована стоимость работ, выполненных на начало отчетного периода, в соотвествтии с отчетом о расходовании субсидии из ОБ МО г. Мурманск по состоянию на 01.01.2025.
</t>
  </si>
  <si>
    <t>2021 - 2025 разработка ПСД,  экспертиза, СМР</t>
  </si>
  <si>
    <t>Техническая готовность - 6%. Мероприятие реализовываться не будет.</t>
  </si>
  <si>
    <t>Техническая готовность - 100%.  
Работы завершены в 2024 году получено заключение Регионального государственного строительного надзора от 20.12.2024, направлены документы для получения РНВ в 2024 году.  Объект введен в эксплуатацию. Разрешение от 10.01.2025 № 51-03-05-2025. 
13 478,2 тыс. руб. - экономия по результатам приемки работ.</t>
  </si>
  <si>
    <t>2023-2026 - разработка ПСД</t>
  </si>
  <si>
    <t>ЗЗаключены контракты на разработку ПСД на реконструкцию автоподъезда к селу Ковда и на реконструкцию моста через ручей Ночной на км 31+154 а/п к нп Зареченск. Проекты разработаны. Отсутствует заключение Госэкспертизы.</t>
  </si>
  <si>
    <t xml:space="preserve">Срок выполнения работ перенесен на 2025 год.                                                                                                                                                                     Общее выполнение – 57% по выполненным физическим работам </t>
  </si>
  <si>
    <t xml:space="preserve">Заключен контракт на выполнение работ. Срок реализации мероприятия 2023-2025 г.г. </t>
  </si>
  <si>
    <t>11.0.4</t>
  </si>
  <si>
    <t>11.0.5</t>
  </si>
  <si>
    <t>Плановое значение установлено соглашением с ФДА. Фактически работы выполнены на объектах большей протяженности.</t>
  </si>
  <si>
    <t>Протяженность построенных / реконструированных
искусственных сооружений на автомобильных дорогах регионального или межмуниципального и местного значения (накопленным итогом)</t>
  </si>
  <si>
    <t>Работы выполнены в соответствии с заключенными контрактами. Своевременно не внесены изменения в план достижения показателя.</t>
  </si>
  <si>
    <t xml:space="preserve">Плановое значение установлено соглашением с ФДА. Фактически контракты заключены в полном объеме с использованием течественного оборудования (товаров, работ, услуг) </t>
  </si>
  <si>
    <t>11.1.10</t>
  </si>
  <si>
    <t>Доля автомобильных дорог регионального значения, входящих в опорную сеть,
рассчитанных на нормативную нагрузку не
менее 11,5 тонны на ось</t>
  </si>
  <si>
    <t>Доля дорожной сети городских агломераций, образованных городами с населением от 100 до 200 тысяч человек, находящейся в нормативном состоянии</t>
  </si>
  <si>
    <t>Доля искусственных сооружений, расположенных на автомобильных дорогах общего пользования регионального значения, входящих в опорную сеть, рассчитанных на нагрузку не менее А11</t>
  </si>
  <si>
    <t>Плановое значение установлено соглашением с ФДА. Фактически новые технологии применены на большем количестве объектов</t>
  </si>
  <si>
    <t>Плановое значение установлено соглашением с ФДА</t>
  </si>
  <si>
    <t>Перевыполнение значения показателя связано с фактической потребностью</t>
  </si>
  <si>
    <t>Сложилась экономия по результатам конкурсных процедур. Также низкоеосвоени средств поодному из мероприятий связано с передачей комплексов фотовидеофиксации на баланс Мурманскавтодора. Контракты на содержание комплексов ФВФ, заключенные в рамках ИМБТ, были расторгнуты</t>
  </si>
  <si>
    <t>В 2024 году произведена корректировка показателя на - 0,4% (58327,14 га морской акватории  особо охраняемых природных территорий федерального значения, которая не является территорией Мурманской области)</t>
  </si>
  <si>
    <t>Предложено исключить данный показатель</t>
  </si>
  <si>
    <t>Приведено плановое значение. Срок получения сведений за 2024 год - не ранее 1 апреля 2025 года</t>
  </si>
  <si>
    <t>Показатель направлен на повышение доли обработки ТКО (причина снижения показателя в динамике, недопущение превышения проектном мощности мусоросортировочного комлекса, в связи с увеличением объема образования ТКО)</t>
  </si>
  <si>
    <t>Показатель направлен на снижение доли захоронения (причина снижения показателя в динамике, недопущение превышения захоронения на полигоне, в связи с увеличением объема образования ТКО)</t>
  </si>
  <si>
    <t>9.1.7</t>
  </si>
  <si>
    <t>Актуализирован и реализуется План адаптации к изменениям климата на территории Мурманской области</t>
  </si>
  <si>
    <t>0-нет, 
1-да</t>
  </si>
  <si>
    <t>Согласованный в 2024 г. МПР РФ проект постановления об изменения режима заказника "Понойский" с увеличением площади 0,67% и переименованием в "Верхнепонойский" на согласовании в МПР МО</t>
  </si>
  <si>
    <t>Издание книги в 2025 году</t>
  </si>
  <si>
    <t>По состоянию на 31.12.2024 работы не выполнены. Подрядчик устраняет замечания, выданные в рамках проведенной экспертизы соответствия (несоответствия) результатов исполнения контракта. Срок устранения замечаний - 10.02.2025.</t>
  </si>
  <si>
    <t>Небо закрыто из-за СВО (угроза БПЛА)</t>
  </si>
  <si>
    <t>Размер вреда, предотвращенного в результате реализации мероприятий по охране участков водных объектов</t>
  </si>
  <si>
    <t>млн. руб.</t>
  </si>
  <si>
    <t>По опубликованным извещениям об осуществлении закупок (номера извещений в Единой информационной системе в сфере закупок о проведении электронного аукциона: от 07.06.2024 № 0149200002324003786; от 09.07.2024 № 0149200002324004525; от 30.07.2024 № 0149200002324005013;от 26.09.2024 № № 0149200002324006035) заявок на выполнение работ не поступило, закупка не состоялась.
По согласованию с Федеральным агентством водных ресурсов начало реализации данного мероприятия перенесено на 2025 год.</t>
  </si>
  <si>
    <t>Начало работ в 2025 году</t>
  </si>
  <si>
    <t>Показатель предлагается к исключению по причине изменений, внесенный в Водный кодекс РФ (закрепление знаками на местности теперь предусмотрено только на территориях, используемых для рекреационных целей)</t>
  </si>
  <si>
    <t>Значение показателя увеличилось, поскольку добавлен один водный объект оз. Среднее в перечень наблюдаемых водных объектов. Всего проведен мониторинг на 11 водных объектах, на 14 участках ощей протяженностью 36,83 км</t>
  </si>
  <si>
    <t>В 2024 году в  регионе проведено 65 мероприятий. Общая протяженность очищенной береговой полосы превысила 62 км.
Всего с начала действия проекта, то есть с 2019 года, очищено от мусора свыше 287 км берегов водных объектов</t>
  </si>
  <si>
    <t>В 2024 году в регионе проведено 65 мероприятий, в которых приняли участие почти 2 тысяч человек. 
Всего с начала действия проекта, то есть с 2019 года в субботниках приняли участие более 8,8 тысяч человек</t>
  </si>
  <si>
    <t>9.5.2</t>
  </si>
  <si>
    <t>Количество строящихся (проектируемых) объектов инфраструктуры обращения с отходами</t>
  </si>
  <si>
    <t>В силу экономических и геополитических факторов стоимость строительства возросла более чем на 50 %.  Работы выполняются за счет внебюджетных источников</t>
  </si>
  <si>
    <t xml:space="preserve">Изменение требований федерального законодательства в сфере ликвидации накопленного вреда окружающей среде. На 2025-2030 годы в Программе установлены новые показатели </t>
  </si>
  <si>
    <t>Внесение изменений в Программу</t>
  </si>
  <si>
    <t>Экономия по результатам закупочных процедур. Не выполнены работы по актуализации Плана адаптации к изменениям климата на территории региона. Подрядчик устраняет замечания, выданые в рамках проведенной экспертизы соответствия (несоответствия) результатов исполнения контракта</t>
  </si>
  <si>
    <t>Перенесены сроки выполнения работ по подготовке предложений по определению границ зон затопления и подтопления (в связи с утранением замечсаний)</t>
  </si>
  <si>
    <t>Неисполнено одно мероприятие в связи с изменением места строительства МПС в Печенгском районе, ведутся работа по выделению земельного участка в п. Никель. Паралельно проводится  проектирование на выполнение проектно-изыскательских работ по объекту. Низкая степень освоения средств ВБС обусловлена использованием участником собственных средств (без использования запланированного в рамках подпрограммы средств ВБС)</t>
  </si>
  <si>
    <t>Доля зданий учреждений культуры, находящихся в удовлетворительном состоянии, в общем количестве зданий данных учреждений</t>
  </si>
  <si>
    <t>5.0.9</t>
  </si>
  <si>
    <t>тыс. ед.</t>
  </si>
  <si>
    <t>Число посещений культурных мероприятий</t>
  </si>
  <si>
    <t>В связи с отсутствием финансирования, ввиду высокой стоимости услуг по сбору и обощению информации, рассматривается вопрос об исключении показателя из государственной программы</t>
  </si>
  <si>
    <t>Оценка на уровне планового значения. Сведения не ранее 01.04.2025</t>
  </si>
  <si>
    <t>Ухудшение значения показателя связано с увеличением количества зданий учреждений культуры требующих капитального ремонта: по библиотекам, детским школам искусств (по видам искусств) и культурно-досуговых учреждений, увеличением количества зданий культурно-досуговых учреждений находящихся в аварийном состоянии, незавершенными ремонтными работами по культурно-досуговым учреждениям, музеям.</t>
  </si>
  <si>
    <t>Проведение мероприятий, направленных на выделение финансирования для проведения ремонтных работ</t>
  </si>
  <si>
    <t>Заключено соглашение о переносе срока ввода объекта "Строительство здания центра культурного развития в г. Мурманске" на 2025 год (Соглашение с Министерством культуры РФ от 09.12.2024 № 054-09-2024-1069). Динамика значения показателя К2 не рассчитывается, так как показатель согласно методике рассчитывается нарастающим итогом.</t>
  </si>
  <si>
    <t>Проведение контроля за ходом выполнения строительных работ, проведение мероприятий, направленных на выделение финансирования для проведения ремонтных работ</t>
  </si>
  <si>
    <t>Данные Росстата (стат. форма № ЗП-культура, утверждена приказом Росстата от 31.07.2023 № 366).
Уровень среднемесячной заработной платы, сложившейся за период январь-декабрь 2024 г по региону составляет 96 279 руб,  что выше среднемесячной начисленной заработной плате работников 85 696,40 рублей</t>
  </si>
  <si>
    <t>5.1.7</t>
  </si>
  <si>
    <t>Количество объектов, на которых выполнены работы по увековечению памяти погибших при защите Отечества</t>
  </si>
  <si>
    <t xml:space="preserve">Превышение показателя связано с большим утвержденем охранных обязательств для объектов культурного наследия </t>
  </si>
  <si>
    <t>В 2024 году в музеях было проведено большое количество временных выставок, демонстрирующих значительную часть фондов, ранее находившихся в запасниках.</t>
  </si>
  <si>
    <t>Рост показателя связан с тем, что пространства библиотек постоянно модернизируются, фонды библиотек пополняются как за счет средств муниципальных образований, так и за счет федеральной субсидии, на базе библиотек создаются новые семейные пространства "СОПКИ.СЕМЬЯ". Кроме того, в Год семьи особое внимание было уделено привлечению семейной аудитории в библиотеки</t>
  </si>
  <si>
    <t>Количество поданых заявок превысило плановое значение</t>
  </si>
  <si>
    <t>5.3.5</t>
  </si>
  <si>
    <t>Прирост количества организаций кинопроизводства, которым оказана поддержка при реализации кинопроектов на территории Мурманской области, по сравнению с 2020 годом</t>
  </si>
  <si>
    <t>5.3.11</t>
  </si>
  <si>
    <t>Доля региональных и муниципальных театров, учреждений культурно-досугового типа, в которых созданы новые постановки и (или) обеспечено развитие и укрепление материально-технической базы и созданию новых постановок, по отношению к запланированной к 2030 году</t>
  </si>
  <si>
    <t>Оценочные данные расчитаны из расчета количества обущаюхся в ДШИ и Колледже искусств, количества участников всероссийских, международных, региональных творческих мероприятий. Окончательные данные до 01.10.2025</t>
  </si>
  <si>
    <t>Недостижение планового значения показателя в связи с тем, что в учет не берется он-лайн формат мероприятий.</t>
  </si>
  <si>
    <t>В дальнейшем в государственной программе скорректировать методику расчета показателя</t>
  </si>
  <si>
    <t xml:space="preserve">Положительная динамика к прошлому периоду связана с активной работой по привлечению населения к мероприятиям проводимыми учреждениями культуры. В расчет показателя фактического значения не учитывается количество  проводимых мероприятий в он-лайн формате (учет данных мероприятий ведется Министерством культуры РФ в целом по субъекту, без разбивки по видам деятельности КДУ). </t>
  </si>
  <si>
    <t>Недостижение планового значения обусловлено снижением количества предоставленных субсидий (грантов), в связи с удорожанием стоимости реализации  проектов</t>
  </si>
  <si>
    <t>На отчетный период в части субсидии на Центр развития кинопроизводства МО оказано содействие 28 кинокомпаниям.</t>
  </si>
  <si>
    <t>Двум работникам учреждений культуры оказана поддержка за счет объемов средств доведенных федеральным Минкультом</t>
  </si>
  <si>
    <t xml:space="preserve">Гранты предоставлены по результатам отборов заявителей </t>
  </si>
  <si>
    <t>по 1му не расчитывается К1</t>
  </si>
  <si>
    <t>Низкое освоение средств в связи с непроизведенной оплатой работ по реконструкции здания ГОБУ «Мурманский областной краеведческий музей», которая будет произведена после вынесения судебного акта (произведены дополнительные работы (сверх сметы), подрядчик обратился с исковым заявлением в суд, при этом работы по реконструкции полностью завершены)</t>
  </si>
  <si>
    <t>2013-2016 гг. разработка ПСД;
2016 г.- экспертиза;
2014, 2016 гг. - техническое присоединение (подводка наружных инженерных сетей);
2019-2021 гг.- строительство; 
2022 - 2024 гг. - завершение реконструкции, приобретение оборудования и ввод в эксплуатацию</t>
  </si>
  <si>
    <t>Работы завершены. Произведены дополнительные работы (сверх сметы), подрядчик обратился с исковым заявлением в суд, оплата после вынесения судебного акта. В 2024 году выплачены средства (прошедши по кассе в 2023 году) на приобретение и установку стационарной экспозиции музея.</t>
  </si>
  <si>
    <t>2017 - 2022 - разработка ПД, экспертиза, 2022 - 2025-реконструкция</t>
  </si>
  <si>
    <t xml:space="preserve">Стоимость работ, выполненных на начало отчетного периода скорректирована без учета авансовых платежей, в соответствии с Актами принятых работ. В 2024 году произведена оплата товаров, работ, услуг за счет авансовых платежей, прошедших по кассе в предыдущие периоды.
 Техническая готовность составляет 89%. Выполняется укладка плитки в коридорах, на лестницах, в сан узлах, подрядчик завершает работы по
сантехнике, а также завершают кинозалы (строительную часть). Выполняется устройство вент проходок через кровлю, монтаж системы вентиляции. 
Также ведется покраска детских игровых и установка дверей.
Получено локальное положительное по инженерно-геодезическим изысканиям, а также по разделу проектной документации, включающий комплекс решений по обеспечению прочности. (Раздел "Отопление, вентиляция и кондиционирование воздуха" условно согласован). Замечания по разделам: технологические решения, обеспечение безопасных условий,  и организации доступности инвалидов сняты, по архитектурным решениям снято все, кроме замечаний по государственной историко-культурной экспертизы. 
В настоящее время разделы по сетям  направлены
заказчику для дальнейшей загрузки в госэкпсертизу. </t>
  </si>
  <si>
    <t>Частичное выполнение мероприятий и низкое освоение средств МБ связано с низким темпом работы подрядной организации, невыполнение работ в контрактные сроки</t>
  </si>
  <si>
    <t>2.0.11</t>
  </si>
  <si>
    <t>Ввод в эксплуатацию общеобразовательных организаций</t>
  </si>
  <si>
    <t>мест</t>
  </si>
  <si>
    <t xml:space="preserve">Реализация комплекса мер, направленных на повышение качества общего образования: поддержка школ с низкими образовательными результатами (учебно-методическая, повышение квалификации, грантовая поддержка реализации программ повышения качества образования), грантовая поддержка реализации инновационных проектов и программ, гранты на поощрение образовательных организаций, в том  числе на повышение квалификации педагогов), разработка и реализация планов повышения качества образования на региональном, муниципальном и институциональном уровнях. 
Снижение показателя по сравнению с уровнем 2023 года обусловлено наличием фактов неявки выпускников на основной экзамен (3 чел), отказа от возможности пересдачи в дополнительный период (3 чел.) и неявки на экзамены в дополнительный период в сентябре (2 чел.) </t>
  </si>
  <si>
    <t>Эффективная работа центров содействия трудоустройству выпускников колледжей с будущими выпускниками, находящимися под риском нетрудоустройства. Не трудоустроившимся по окончанию обучения в колледжах направляется информация о вакансиях, адресные предложения от работодателей, проводятся консультации по составлению резюме, соответствующего современным стандартам требований работодателя</t>
  </si>
  <si>
    <t xml:space="preserve">Активность участия обучающихся в олимпиадах и конкурсах регионального уровня  (увеличение численности участников мероприятий по сравнению с прогнозируемым значением, но снижение по сравнению с уровнем предыдущего года) </t>
  </si>
  <si>
    <t>Темп роста или снижения численности инвалидов и лиц с ограниченными возможностями здоровья, принятых на обучение по программам среднего профессионального образования (по отношению к значению показателя предыдущего года)</t>
  </si>
  <si>
    <t>Доля студентов из числа инвалидов и лиц с ограниченными возможностями здоровья, обучавшихся по образовательным программам среднего профессионального образования, выбывших по причине академической неуспеваемости</t>
  </si>
  <si>
    <t>Число мастерских, оснащенных современной материально-технической базой по одной из компетенций (нарастающим итогом)</t>
  </si>
  <si>
    <t>Численность граждан, охваченных деятельностью Центров опережающей профессиональной подготовки (нарастающим итогом)</t>
  </si>
  <si>
    <t>Наличие вакантных должностей преподавательского состава обусловило превышение запланированного уровня показателя. 
Снижение численности студентов и среднесписочной численности преподавательского состава отразилось на динамике показателя  по сравнению с предыдущим годом</t>
  </si>
  <si>
    <t>Перевыполнение плана сложилось в связи с увеличением объема стимулирующих выплат</t>
  </si>
  <si>
    <t>В результате реализации федерального проекта "Профессионалитет" было создано большее число зон по виду работ</t>
  </si>
  <si>
    <t>Эффективная работа ЦОПП Мурманской области обеспечила значительное перевыполнение планового значения показателя</t>
  </si>
  <si>
    <t>Большое количество выпускников СПО выбирают экзамен профильного уровня (пороговое значение установлено Минпросвещения РФ). 
Снижение по сравнению с данными предыдущего года обусловлено внесением изменений в контрольно-оценочные средства демонстрационного экзамена (расширение оцениваемых знаний и навыков), в связи с чем в 2024 году большее число выпускников предпочли проходить базовый уровень демоэкзамена</t>
  </si>
  <si>
    <t>2.2.12</t>
  </si>
  <si>
    <t xml:space="preserve">Количество объектов, в которых в полном объеме выполнены мероприятия по капитальному ремонту общеобразовательных организаций и их оснащению средствами обучения и воспитания (нарастающим итогом)
</t>
  </si>
  <si>
    <t xml:space="preserve">Более высокие темпы роста среднемесячной заработной платы в иных видах экономической деятельности (установленное пороговое значение 95%) </t>
  </si>
  <si>
    <t xml:space="preserve">Подготовка предложений в Правительство Мурманской области об увеличении стимулирующих выплат педагогическим работникам </t>
  </si>
  <si>
    <t>Увеличение численности детей, охваченных дополнительными общеобразовательными программами технической и естественно-научной направленности в системе образования, в том числе за счет открытия Точек роста, Центров Уникум, кванториума в г. Мончегорске</t>
  </si>
  <si>
    <t xml:space="preserve">Дефицит областного бюджета не позволил обеспечить темп роста среднемесячной заработной платы педагогов в дополнительном образовании на уровне роста заработной платы учителей  </t>
  </si>
  <si>
    <t>Большее число детей приняло участие в мероприятиях "Центра "Воин"</t>
  </si>
  <si>
    <t>Меньшее количество детей выехало на отдых в оздоровительные учреждения за пределы региона по причине отказа родителей от направления детей  в детские оздоровительные организации, расположенные на юге России</t>
  </si>
  <si>
    <t xml:space="preserve">Проведение информационной кампании об организации детского отдыха, включая вопросы обеспечения безопасности  </t>
  </si>
  <si>
    <t>Плановое значение показателя устанавливается Минпросвещения России (декомпозированный показатель ГП РФ "Развитие образования"). Фактическое значение определяется в соответствии с методикой ГП МО "Образование и наука" (число отдохнувших  в 2024 году составило 2059 человек,  численность обучающихся 5-8 классов по данным формы № ОО-1 за 2023/2024 учебный год (с учетом детей с ОВЗ) - 32634 человек)</t>
  </si>
  <si>
    <t>Оценка (первая оценка по данным формы №ОО-2, контроль и уточнение которых продолжается,  итоговая  информация публикуется на сайте Минпросвещения РФ 31 мая). 
В расчете показателя учитывается доля образовательных учреждений, здания которых требуют капитального ремонта, рост которой обусловлен изменением подхода к определению потребности в капремонте и отражению указанной потребности в форме № ОО-2, данные которой являются источником для расчета показателя, в целях привлечения средств федерального бюджета в рамках проекта по модернизации школьных систем образования (принято указывать потребность в капремонте не только в случае необходимости восстановления технических характеристик, а при наличии дефектной ведомости с перечнем необходимых ремонтных работ).</t>
  </si>
  <si>
    <t>Оценка (первая оценка по данным формы №ОО-2, контроль и уточнение которых продолжается,  итоговая  информация публикуется на сайте Минпросвещения РФ 31 мая). 
Увеличение доли образовательных учреждений, здания которых требуют капитального ремонта, обусловлено изменением подхода к определению потребности в капремонте и отражению указанной потребности в форме № ОО-2, данные которой являются источником для расчета показателя, в целях привлечения средств федерального бюджета в рамках проекта по модернизации школьных систем образования (принято указывать потребность в капремонте не только в случае необходимости восстановления технических характеристик, а при наличии дефектной ведомости с перечнем необходимых ремонтных работ)</t>
  </si>
  <si>
    <t>Министерство образования и науки Мурманской области, профессиональные образовательные организации, ФГАОУ ВО «МАУ»,  ФИЦ КНЦ РАН, вузы, подведомственные государственные образовательные организации, АНО «Проектный офис «Арктический элемент»</t>
  </si>
  <si>
    <t xml:space="preserve">Выплаты носят заявительный характер (обратилось меньшее количество получателей  чем прогнозировалось)
</t>
  </si>
  <si>
    <t>Экономия средств сложилась в результате проведения закупочных процедур. Заявительный характер получения мер социальной поддержки</t>
  </si>
  <si>
    <t>Смертность населения от всех причин смерти, на 1000 населения</t>
  </si>
  <si>
    <t>Смертность населения от болезней системы кровообращения, на 100 тыс. населения</t>
  </si>
  <si>
    <t>Смертность населения от новообразований, на 100 тыс. населения</t>
  </si>
  <si>
    <t>Промилле (0,1 процента)</t>
  </si>
  <si>
    <t>Человек</t>
  </si>
  <si>
    <t>Год</t>
  </si>
  <si>
    <t>Оценка (оценочное значение установлено выше планового из-за увеличения количества умерших, уточненные данные будут предоставлены после 21 августа). Данные рассчитаны с учетом анализа фактических показателей прошлых лет и прогнозного значения за 2024 г.</t>
  </si>
  <si>
    <t>Оценка (уточненные данные будут предоставлены после 15 августа ). Показатель рассчитывается на основании предварительных данных половозрастного состава умерших (без учета окончательных медицинских свидетельств), распределенных по однолетним возрастам и предварительной оценки возрастно-полового состава населения. В связи с этим возможно недостижение планового значения показателя.</t>
  </si>
  <si>
    <t>1.1.2</t>
  </si>
  <si>
    <t>1.1.10</t>
  </si>
  <si>
    <t>Доля пациентов с сахарным диабетом 1 и 2 типов с высокими ампутациями от всех пациентов с сахарным диабетом 1 и 2 типов с любыми ампутациями</t>
  </si>
  <si>
    <t>Доля пациентов с сахарным диабетом 1 и 2 типов, нуждающихся в заместительной почечной терапии, и пациентов со слепотой, от всех пациентов с сахарным диабетом 1 и 2 типов с хронической болезнью почек и пациентов с диабетической ретинопатией</t>
  </si>
  <si>
    <t>1.1.11</t>
  </si>
  <si>
    <t>1.1.12</t>
  </si>
  <si>
    <t>1.1.13</t>
  </si>
  <si>
    <t>Доля пациентов с сахарным диабетом 1 и 2 типов, охваченных диспансерным наблюдением, в том числе проводимым в рамках данного наблюдения исследованием гликированного гемоглобина с помощью лабораторных методов, ежегодно не реже 1 раза в год, от общего числа пациентов с сахарным диабетом 1 и 2 типов</t>
  </si>
  <si>
    <t>Доля пациентов с сахарным диабетом, выявленных впервые при профилактических медицинских осмотрах и диспансеризации в отчетном году, от общего числа зарегистрированных заболеваний с впервые в жизни установленным диагнозом сахарный диабет у взрослых за отчетный год</t>
  </si>
  <si>
    <t>Доля пациентов, обученных в школе для пациентов с сахарным диабетом, от общего числа пациентов с сахарным диабетом 1 и 2 типов (Е10-Е14) за отчетный год</t>
  </si>
  <si>
    <t>1.1.14</t>
  </si>
  <si>
    <t>1.1.15</t>
  </si>
  <si>
    <t>Охват граждан исследованием глюкозы натощак</t>
  </si>
  <si>
    <t>Охват населения иммунизацией в рамках Национального календаря профилактических прививок не менее 95 % от подлежащих иммунизации, %</t>
  </si>
  <si>
    <t>В отчетном периоде возросло количество пациентов, которым потребовалась эвакуация с использованием санитарной авиации</t>
  </si>
  <si>
    <t>Анализ причин, повлиявших на отклонение значения показателя. Корректирование прогнозных значений показателя</t>
  </si>
  <si>
    <t xml:space="preserve">Своевременная и ранняя диагностика выявления сахарного диабета, эффективный подбор лекарственной терапии </t>
  </si>
  <si>
    <t>Своевременная и ранняя диагностика выявления сахарного диабета, эффективный подбор лекарственной терапии. Своевременное вявление в рамках диспансекризации отклонений со стороны мочевыделительной системы, поражения глаз.</t>
  </si>
  <si>
    <t>Большая часть целевой группы показателя отсутствует на территории Мурманской области в период с апреля по сентябрь, в связи с чем имеет ограниченный период в течение года для участия в диспансерном наблюдении</t>
  </si>
  <si>
    <t>Ответственным лицам медицинских организаций пазработать ежемесячный план посещения пациентами диспансерного наблюдения для своевременного принятия управленческих решений. Врачам-терапевтам, врачам общей практики, врачам эндокринологам организовать проактивный вызов пациентов данной категории на диспансерный осмотр. Ведется активная работа по информированию населения о признаках раннего выявления сахарного диабета</t>
  </si>
  <si>
    <t>Своевременная и ранняя диагностика выявления сахарного диабета</t>
  </si>
  <si>
    <t>Перевыполнение показателя обусловлено дополнительным открытием школ для пациентов с сахарным диабетом</t>
  </si>
  <si>
    <t>Повышение информированности населения о заболеваниях, связанных с нарушением углеводного обмена,привлечение большого кол-ва предприятий для участия в диспансеризации, профилактического осмотра, в которые входят выполнение данного исследования</t>
  </si>
  <si>
    <t>Доля злокачественных новообразований, выявленных на I-II стадиях</t>
  </si>
  <si>
    <t>ежегодно крово-плазмодачи</t>
  </si>
  <si>
    <t xml:space="preserve">Увеличение доли пациентов, обращающихся за помощью в течение первых 12 часов после начала инфаркта </t>
  </si>
  <si>
    <t>Продолжение работы централизованной системы мониторинга специалистами регионального сосудистого центра за тяжелыми больными, поступающими в стационары региона, что позволяет на этапе поступления принимать решение о госпитализации в областной или межмуниципальные центры, сопровождать его лечение областными специалистами</t>
  </si>
  <si>
    <t>Перевыполнение связано с закупкой дополнительного оборудования в рамках РП «Борьба с сердечно-сосудистыми заболеваниями», в связи с этим повысилась доступность для граждан данного вида лечения.</t>
  </si>
  <si>
    <t>Превышение показателя связано с перевыполнением объемов предоставляемых услуг, прохождением населения диспансеризаций , в результате которых выявлены злокачественные новобразования на I-II стадиях</t>
  </si>
  <si>
    <t>Выявление злокачественных новообразований, в том числе на ранних стадиях, во время прхождения диспансеризации. Приобретение оборудования в рамках РП «Борьба с онкологическими заболеваниями</t>
  </si>
  <si>
    <t>В целях оценки  динамики значения показателя по сравнению с предшествующим годом, значения показателя, указанного в 789-ПП (15266) было переведено в сопоставимое значение из расчета количества крово-плазмодачи на 1 человека</t>
  </si>
  <si>
    <t>1.3.6</t>
  </si>
  <si>
    <t>Доля новорожденных, обследованных на врожденные и (или) наследственные заболевания в рамках расширенного неонатального скрининга, от общего числа родившихся живыми в субъектах Российской Федерации, реализующих мероприятия по проведению расширенного неонатального скрининга на врожденные и (или) наследственные заболевания</t>
  </si>
  <si>
    <t xml:space="preserve"> Совершенствование профилактического направления , информированность  населения</t>
  </si>
  <si>
    <t>Недоношенные дети по медицинским показаниям проходят аудиологический скрининг через 1 месяц (в некоторых случаях, через 2-3 мес) после рождения.</t>
  </si>
  <si>
    <t>Увеличение охвата диспансерным наблюдением недоношенных детей.</t>
  </si>
  <si>
    <t xml:space="preserve">В 2024 году планировалось отремонтировать 27 объектов. В связи с недостаточным финансированием в 2024 году работы выполнены только на 18 объектах </t>
  </si>
  <si>
    <t xml:space="preserve">Работа по совершенствованию формирования бюджета. Анализ расходов. </t>
  </si>
  <si>
    <t>Планировалось строительство 4 объектов (амбулатория ГОБУЗ Кандалакшская ЦРБ (п. Зеленоборский) и детская поликлиника ГОБУЗ Кольская ЦРБ (г. Кола, пер Остроский,12 и 2 инфекционных корпусов ГОБУЗ "Мончегорская ЦРБ" (г. Мончегорск и Ковдор). Работы осуществлялись на 2 объектах.  Строительство инфекционных корпусов не начато, т.к. проектная документация по данным объектам находится еще на госэкспертизе.</t>
  </si>
  <si>
    <t>Анализ причин, повлиявших на отклонение значения показателя. Работа по совершенствованию планирования бюджетных средств.</t>
  </si>
  <si>
    <t xml:space="preserve">  -</t>
  </si>
  <si>
    <t>Укомплектованность врачебных должностей в подразделениях, оказывающих медицинскую помощь в амбулаторных условиях в Мурманской области (физическими лицами при коэффициенте совместительства 1,3)</t>
  </si>
  <si>
    <t>Укомплектованность должностей среднего медицинского персонала в подразделениях, оказывающих медицинскую помощь в амбулаторных условиях в Мурманской области (при коэффициенте совместительства 1,3)</t>
  </si>
  <si>
    <r>
      <t>тыс</t>
    </r>
    <r>
      <rPr>
        <sz val="10"/>
        <color indexed="10"/>
        <rFont val="Times New Roman"/>
        <family val="1"/>
        <charset val="204"/>
      </rPr>
      <t>.</t>
    </r>
    <r>
      <rPr>
        <sz val="10"/>
        <rFont val="Times New Roman"/>
        <family val="1"/>
        <charset val="204"/>
      </rPr>
      <t xml:space="preserve"> чел.</t>
    </r>
  </si>
  <si>
    <t>На законодательном уровне предусмотрены единовременные денежные выплаты медицинским работникам для привлечения в Мурманскую область</t>
  </si>
  <si>
    <t>Увеличение показателя связано с тем что, система  НМО отличает непрерывность, удобство, использование инновационных технологий (дистанционные, электронные, симуляционные технологии), а также возможность выстраивания персональной траектории обучения, что обеспечивает получение знаний, умений, навыков и компетенций, соответствующих потребностям специалистов</t>
  </si>
  <si>
    <t xml:space="preserve">При планоровании целевого показателя не учитывался показатель ЧУЗ "РЖД-Медицина" г. Мурманск. С учетом разъяснений кураторов медицинскую организацию ЧУЗ "РЖД-Медицина" г. Мурманск, включили  в список организаций, участвующих в исполнении РП.     </t>
  </si>
  <si>
    <t>Причинами недостижения показателя и отсутствия положительной динамики являются изменение численности медицинских работников в течение года, увольнение работников, планируемых для прохождения аккредитации, и трудоустройство медицинских работников, имеющих действующую аккредитацию</t>
  </si>
  <si>
    <t>Внесение изменений в государственную программу в части корректировки значений целевого показателя</t>
  </si>
  <si>
    <t>Точно спрогнозировать факт обращения за медицинской помощью иностранных граждан не представляется возможным. Фактический показатель рассчитывается по факту обращения граждан.</t>
  </si>
  <si>
    <t xml:space="preserve"> Меры отсутствуют в связи с тем, что РП «Развитие экспорта медицинских услуг (Мурманская область)» завершил свою реализацию в 2024 году</t>
  </si>
  <si>
    <t>Услуга носит заявительный характер. Обратилось большее кол-во заявителей, чем планировалось</t>
  </si>
  <si>
    <t>Невыполнение мероприятий в связи с тем, что мероприятия проведены в рамках реализации мероприятий содержательного блока программы комплексного развития молодежной политики в субъектах РФ «Регион для молодых». Превышение фактического исполнения над плановыми значениями по ВБС обусловлено тем, что в соответствии с распоряжением ПРФ ФОМС при недостаточности иных межбюджетных трансфертов, предоставленных бюджетам ТФОМС, может предоставлять иные межбюджетные трансферты в целях софинансирования расходов медицинских организаций на оплату труда врачей и среднего медицинского персонала за счет средств резерва, предусмотренного распределением, утвержденнымраспоряжением (без внесения в него изменений)</t>
  </si>
  <si>
    <t>Экономия средств, сложившаяся, в том числе, в результате проведения закупочных процедур. Средства ВБС запланированы в соответствии с ТПГГ. Перевыполнение степени освоения средств в связи с предъявлением на оплату более дорогостоящих случаев лечения</t>
  </si>
  <si>
    <t>Экономия средств сложилась в результате проведения закупочных процедур. По некоторым объектам завершение работ перенесено на 2025 год, приемка  работ осуществляется в соответствии с условиями заключенных контрактов</t>
  </si>
  <si>
    <t>Некоторые мероприятия носят заявительный характер</t>
  </si>
  <si>
    <t>Увеличилось число  вовлеченных в спорт в связи с развитием спортивных мероприятий и секций</t>
  </si>
  <si>
    <t xml:space="preserve"> Отчет 5-ФК предоставляют организации, реализующие дополнительные образовательные программы спортивной подготовки, разработанные на основе федеральных стандартов спортивной подготовки</t>
  </si>
  <si>
    <t xml:space="preserve">Провести анализ значенией показателя с цель определения нового значения </t>
  </si>
  <si>
    <t>Сокращение финансового обеспечения</t>
  </si>
  <si>
    <t>Некоторые мероприятия выполнены не в полном объеме из-за увеличения сроков поставки оборудования (часть оборудования, предусмотренного ПД, была снята с производства из-за санкций). На объекте "Реконструкция Ледового дворца" (г. Оленегорск) произошла аварийная ситуация в связи с чем возникла необходимость корректировки ранее принятых проектных решений в части разработки дополнительных конструктивных решений</t>
  </si>
  <si>
    <t>В спортсооружения входят объекты городской и рекреационной инфраструктуры, приспособленные для занятий физической культурой и спортом, в том числе универсальные спортивные игровые площадки, дистанции, велодорожки, споты (плаза начального уровня), площадки с тренажерами, сезонные катки. Увеличение объектов городской и рекрационной инфраструктуры, спортивных залов. Кроме того использование внебюджетных источников при строительстве, реконструкции спортивных объектов</t>
  </si>
  <si>
    <t>Министерством спорта Российской Федерации для региона на 2023 год был установлен плановый Показатель 26%. Фактическое исполнение Показателя в 2023 году составило 26,1%. Дополнительным соглашением к соглашению о реализации на территории Мурманской области государственной программы субъекта РФ, направленной на достижение целей и показателей государственной программы РФ «Развитие физической культуры и спорта»
от 20.12.2023 № 2022-00700/2 на 2024 год Минспортом России для Мурманской области установлен плановый показатель в значении 28%. После проведения анализа федерального мониторинга достижения Показателя было выявлено завышение планового значения Показателя. По информации Минспорта России, полученной в рабочем порядке, откорректировать Показатель 2024 года в сторону уменьшения технически не представлялось возможным</t>
  </si>
  <si>
    <t>Письмом Минспорта России от
12.07.2024 № Исх-03-6-07/11153 значение Показателя на период 2025-2027 было откорректировано в сторону уменьшения и согласовано письмом Министерства спорта МО от 15.07.2024 № 11-04/1919-СН. На основании согласованных данных 25.12.2024 года было заключено Дополнительное соглашение к соглашению о реализации на территории Мурманской области государственных программ субъекта РФ, направленных на достижение целей и показателей государственной программы РФ «Развитие физической культуры и спорта» Министерство спорта Российской Федерации № 2022-00700/3, где значения на период с 2025 по 2027 годы составили: 2025 год – 26,5%; на 2026 год – 27%; на 2027 год – 27,5%</t>
  </si>
  <si>
    <t>Для присвоения спортивных разрядов необходимо выполнение обязательных условий, в том числе количество участников в соревнованиях и отдельных дисциплинах, статус соревнований и количество субъектов РФ, квалификационные категории спортивных судей, в связи с чем определить прогнозное значение не представляется возможным и показатель расчитываается по факту.</t>
  </si>
  <si>
    <t>Ввод в эксплуатацию новых спортивных сооружений</t>
  </si>
  <si>
    <t>Увеличение количества проведенных мероприятий на объектах спорта, в том числе увеличение количества людей, посещающих спортвиные объекты с целью своей физической и спортивной подготовки</t>
  </si>
  <si>
    <t>Дополнительная помощь обучающимся из числа инвалидов и лиц с ограниченными возможностями здоровья в процессе обучение (тьютеры) обеспечивает соблюдение предельного уровня доли отчисляемых, установленной Минпросвещения РФ.
Число инвалидов и лиц с ограниченными возможностями здоровья, обучавшихся по образовательным программам среднего профессионального образования, выбывших по причине академической неуспеваемости составило 2 чел. (в 2023 году - 1 чел.), что обусловлено отказом студентов продолжить обучение по другой специальности, не предусматривающей освоение дисциплин, по которым сформировалась академическая задолженность</t>
  </si>
  <si>
    <t>тыс.ед</t>
  </si>
  <si>
    <t>Обусловлено строительством новых домов</t>
  </si>
  <si>
    <t>Компоненты показателя расчитаны по Методике, в соответствии с которой  значения рассчитаны исходя из уровня фактических значений 2019 года, и существенно превышают возможные к достижению в сложившихся социально-экономических условиях</t>
  </si>
  <si>
    <t>В Минстрой РФ направлены предложения по корректировке Методики. С 2025 года расчет проводится по новой методике. Согласно прогнозу в 2025 году значение показателя будет достигнуто</t>
  </si>
  <si>
    <t>Сильный рост показателя обусловлен предоставлением большого объема средств областной и федеральной поддержки</t>
  </si>
  <si>
    <t>Оценка на уровне планового значения, итоговые данные - апрель, следующие за отчетным</t>
  </si>
  <si>
    <t>Невыполнение в связи с недопуском подрядной организации к выполнению работ</t>
  </si>
  <si>
    <t>Проведение разъяснительной работы с собственниками помещений, решения вопроса о предоставлении допуступа к общему имуществу в досудебном/судебном порядке</t>
  </si>
  <si>
    <t>Предоставление выплаты носит заявительный характер</t>
  </si>
  <si>
    <t xml:space="preserve">Ввиду завершения мероприятий, реализация которых осуществлялась в рамках ранее заключнных договоров </t>
  </si>
  <si>
    <t>Одна семья исключена из списка по личному заявлению, замены не было</t>
  </si>
  <si>
    <t>Данная мера направленная на улучшение жилищных условий граждан, предоставление социальной выплаты носит заявительный характер, спрогнозировать количество ежегодно предоставляемых заявлений не представляется возможным</t>
  </si>
  <si>
    <t>Программа "Свой дом в Арктике" пользуется большой популярностью, в связи с большим количеством заявлений, направленных гражданами в период летнего строительного сезона,  по результатам совещания Губернатором МО принято решение об увеличении финансирования данного мероприятия, что повлекло увеличение количества выданных сертификатов (ЕДВ)</t>
  </si>
  <si>
    <t>Предоставление социальной выплаты носит заявительный характер, спрогнозировать количество ежегодно предоставляемых заявлений не представляется возможным</t>
  </si>
  <si>
    <t>Нарушение подрядными организациями сроков выполнения работ, необходимость корректировки технической документации</t>
  </si>
  <si>
    <t>Усиление контроля со стороны муниципального заказчика</t>
  </si>
  <si>
    <t>7.2.4</t>
  </si>
  <si>
    <t>Количество обустроенных мест захоронений на территории Мурманской области</t>
  </si>
  <si>
    <t>Неисполнение показателей текущего года связан с переносом сроков реализации мероприятия</t>
  </si>
  <si>
    <t>В связи с реализацией ЗМО от 30.06.2023 № 2905-01-ЗМО в 2024 году объекты и сети жкх, расположенные на территории четырех муниципальных образований Мурманской области (г. Оленегорск, Ковдорский, Кандалакшский и Кольский округа), переданы в государственную собственность Мурманской области с последующим закреплением на праве хозяйственного ведения за ГОУП «Мурманскводоканал». Таким образом, количество получателей субсидии на возмещение недополученных доходов водоснабжающим организациям уменьшилось. Кроме этого, ряд теплоснабжающих организаций утратили статус единой теплоснабжающей организации.</t>
  </si>
  <si>
    <t>Предлагаем откорректировать данный показатель, учитывая проводимые мероприятия по консолидации активов ГОУП «Мурманскводоканал»</t>
  </si>
  <si>
    <t>Исполнение большего объема за счет средств сложившейся экономии</t>
  </si>
  <si>
    <t>В связи с отсутствием ПД на строительство ливневой канализации по ул. Полярные Зори, срок выполнения работ перенесен на 2025 год.</t>
  </si>
  <si>
    <t>Удалось превысить утвержденные превоначальные показатели ГП в части снижения доли количества обрещений граждан по указанной тематике благодаря мероприятиям Министерства по усилению мер по контролю работы управляющих компаний в части предоставращения и устраения аварий</t>
  </si>
  <si>
    <t>Снижение количества проверок по вопросам качества предоставления коммунальных услуг и аварийных ситуаций обусловлено увеличением мер по предотвращению наршуений. В проверки уходят обращения при неисполнении предостережений</t>
  </si>
  <si>
    <t>по 1му показателям К1 не рассчитывается</t>
  </si>
  <si>
    <t xml:space="preserve">Низкая степень освоения средств и невыполнение мероприятий обусловлено нарушением условий контракта в части сроков выполнения работ, сложившейся экономией средств в результате проведения закупочных процедур, заявительным характером мероприятий </t>
  </si>
  <si>
    <t>Неполное выполнение мероприятий в связи с поздним заключением контрактов (или их не заключением в отчетном году, перенос сроков реализации мероприятия)</t>
  </si>
  <si>
    <t>Некоторые мероприятия реализуются поэтапно, окончательно не завершены работы</t>
  </si>
  <si>
    <t>Срок реализации некоторых мероприятий перенесен на 2025 год в связи с задержкой изготовления котельных в виду ограниченных производственных мощностей завода-изготовителя. Приемка работ по части мероприятий в рамках концессионных соглашений не осуществлялась, мероприятия будут выполнены после регистрации прав собственности на объекты концедента</t>
  </si>
  <si>
    <t>Значения на уровне 2023 года (К2 от 99 до 101%)</t>
  </si>
  <si>
    <t xml:space="preserve">Строительная  готовность объекта - 35 %. 
На объекте выполнено: подготовительные работы, земляные работы по демонтажу старого фундамента, подготовка основания площадки котлована, монтаж опалубки и заливка бетоном, устройство основания из плит для буровой, устройство свайного поля (100%) из БНС, устройство стен (100% подвальной части). 
</t>
  </si>
  <si>
    <t xml:space="preserve">2021-2024- разработка ПСД      </t>
  </si>
  <si>
    <t>Произведена оплата выполненных работ по разработке проектной документации (по судебному решению).</t>
  </si>
  <si>
    <t>Строительная готовность - 100%. Получено разрешение на ввод объекта в эксплуатацию от 23.12.2024 № RU-51503102-28. Низкая степень освоения средств в связи с непредоставлением подрядной организацией актов выполненных работ и счетов на оплату.</t>
  </si>
  <si>
    <t xml:space="preserve">2021-2024 - разработка ПСД, прохождение госэкспертизы, реконструкция
</t>
  </si>
  <si>
    <t xml:space="preserve">Работы выполнены в полном объеме.
Также  откорректированы значения "Кассовые расходы по состоянию на начало отчетного период" и Стоимость работ, выполненных по состоянию на начало отчетного периода", в связи с технической ошибкой, ранее допущенной в отчетах за 6, 9 месяцев.
</t>
  </si>
  <si>
    <t xml:space="preserve">2022 - 2024 - разработка ПСД, прохождение госэкспертизы, 2025 - 2026 - строительство
</t>
  </si>
  <si>
    <t xml:space="preserve">514785,1          (предполагаемая (предельная) стоимость объекта, определенная с применением укрупненного норматива цены строительства)
</t>
  </si>
  <si>
    <t>Проектная документация разработана. В отчетном периоде проводилась работа по устранению замечаний, выданных государственной экспертизой</t>
  </si>
  <si>
    <t xml:space="preserve">2022 - 2024 разработка ПСД,
прохождение госэкспертизы, 2025-2026 строительство
</t>
  </si>
  <si>
    <t xml:space="preserve">323 945,5
 (предполагаемая (предельная) стоимость объекта, определенная с применением укрупненного норматива цены строительства)
</t>
  </si>
  <si>
    <t>2024 - 2025 разработка проектной документации, строительство</t>
  </si>
  <si>
    <t xml:space="preserve">63685,6(предполагаемая (предельная) стоимость объекта, определенная с применением укрупненного норматива цены строительства)
</t>
  </si>
  <si>
    <t>Государственный контракт на строительство объекта заключен 28.12.2024. Разработка ПСД и строительство будет осуществлено в 2025 году</t>
  </si>
  <si>
    <t>2022 - 2025 гг. - разработка ПД, экспертиза, 2026 - 2028
гг. - реконструкция</t>
  </si>
  <si>
    <t>Выполняется проектирование.
На реализацию мероприятия в 2024 году СБР предусмотрено 3 899,4 т.р. (подтвержденные остатки прошлых лет), средства в размере 4 557,3 т.р. были направлены в резервный фонд ПМО (ППМО от 23.12.2024 № 920-ПП). Выполнено за счет аванса, выплаченного по контракту в 2022 году, на сумму 2 869,2 т.р.</t>
  </si>
  <si>
    <t>2023 г. - строительство объекта, 2024 г. - завершение строительства, 2025 г. - ввод в эксплуатацию</t>
  </si>
  <si>
    <t>В настоящий момент строительная готовность - 60%. Продолжаются работы по устройству перегородок из блоков, монтаж утеплителя вентилируемого фасада здания, монтаж витражей, системы вентиляции и металлоконструкций кровли. Низкие темпы работы подрядной организации, невыполнение работ в контрактные сроки.
Необходимость коррекировки ПД в рамках экспертного сопровождения.</t>
  </si>
  <si>
    <t>2022 г. - разработка ПД, 2023 - 2024 гг. - строительство объекта, 2025 г. - завершение строительства, ввод в эксплуатацию</t>
  </si>
  <si>
    <t>Стоимость выполненных работ по состоянию на начало отчетного периода скорректирована с учетом средств областного и местного бюджетов, направленных на разработку проектной документации на строительство объекта. 
В настоящее время техническая готовность - 45%.   
Выполняется: устройство лотков теплосети, устройство кровли, приступили к устройству лесов, устройство перегородок 1, 2 этажах</t>
  </si>
  <si>
    <t>2020 год - разработка ПСД: 2022 - 2024 годы - строительство</t>
  </si>
  <si>
    <t>23.08.2024 объект введен в эксплуатацию</t>
  </si>
  <si>
    <t>2022-2024 год строительство (РНВ 20.12.2024)</t>
  </si>
  <si>
    <t xml:space="preserve"> 20.12.2024 объект введен в эксплуатацию</t>
  </si>
  <si>
    <t>Разработка ПСД в 2023 году, строительство в 2023 - 2025 годах</t>
  </si>
  <si>
    <t>МКД №4: Техническая готовность 2% подрядчик выполнил отрывку котлована до скальных пород, договор с 
С ООО "ПромИзоляция" на БВР в стадии подписания.</t>
  </si>
  <si>
    <t>26</t>
  </si>
  <si>
    <t>Завершение строительства МКД в г. Заполярном по ул. Ленинградской, в районе дома 4</t>
  </si>
  <si>
    <t>Минстрой МО, Печенгский муниципальный округ</t>
  </si>
  <si>
    <t>Ввод объектов жилищного строительства общ. жил. площадь 2 965,5 кв. м.</t>
  </si>
  <si>
    <t>Разработка ПСД в 2024 году, строительство в 2025 году</t>
  </si>
  <si>
    <t xml:space="preserve">Договор на разработку ПД и выполнение СМР заключен 23.09.2024.В настоящее время планируется заключение договора на проведение государственной экспертизы. Плановый срок 17.03.2025. Вместе с тем экспертизой в рабочем порядке рассмотрена ПД, замечания планируется направить подрядчику после заключения договора. В части тех.присов.:- предоставлен договор на подключение к электрическим сетям, на теплоснабжение;- в целях заключения договоров технологического присоединения к сетям водоснабжения водоотведение сетевая организация готовит док-ты в КТР для получения стандартизированной ставки. Плановый срок направления в КТР до 25.03.2025.Техническая готовность - 0%. 
</t>
  </si>
  <si>
    <t>Реконструкция водопроводной насосной станции с установкой комплекса оборудования очистки воды на объекте: "Станция водоподготовки на ВНС-1 озеро Большое Грязненское"</t>
  </si>
  <si>
    <t>Пропускная способность – 500 м3/час; 12000 м3/сутки</t>
  </si>
  <si>
    <t>Техническая готовность - 100% .  
20.08.2024 подписан акт комиссии о приемке в эксплуатацию объекта</t>
  </si>
  <si>
    <t>Кладбище традиционного захоронения в районе н.п. Нивский</t>
  </si>
  <si>
    <t xml:space="preserve">Минстрой МО, МО Кандалакшский муниципальный район Мурманской области
</t>
  </si>
  <si>
    <t>общая площадь 31,92 га, площадь захоронений 14,36 га, период эксплуатации 40 лет</t>
  </si>
  <si>
    <t xml:space="preserve">Строительство 2 этапа кладбища завершено в 2024 году, фактическая стоимость 1-2 этапов составила
217 972,5 т.р. Строительство 3  этапа не планируется. </t>
  </si>
  <si>
    <t>Новое кладбище в городе Мончегорске</t>
  </si>
  <si>
    <t xml:space="preserve">Минстрой МО, МО муниципальный округ город Мончегорск с п.т. Мурманской области
</t>
  </si>
  <si>
    <t>площадь под захоронения - 20,0 га, кол-во могил - 24080; период эксплуатации - 40 лет</t>
  </si>
  <si>
    <t>2016 - 2030 гг. - строительство: 2019 - 2020 - 1 этапа,
2021 - 2023 - 3 этап,
2025 - 2026 - 2 этап,
2027 - 2029 - 4 этап,
2030 - 5 этап.
Ввод объекта в эксплуатацию в 2030 году</t>
  </si>
  <si>
    <t>Завершено строительство 1 и 3 этапов в (S в границах проектирования – 4,48 га; Количество могил – 3093)
Стоимость составила  110 279,5 тыс. руб. дальнейшая реализация мероприятия не планируется</t>
  </si>
  <si>
    <t xml:space="preserve">Новое кладбище МО г.п. Никель в районе 3 км автодороги Никель - Приречный Печенгского района Мурманской области
</t>
  </si>
  <si>
    <t xml:space="preserve">Минстрой МО, МО Печенгский муниципальный округ Мурманской области
</t>
  </si>
  <si>
    <t>общая площадь 7,053 га, площадь захоронений 4,61 га, период эксплуатации 15 лет</t>
  </si>
  <si>
    <t>Техническая готовность - 100%</t>
  </si>
  <si>
    <t>Городское кладбище г. Оленегорска</t>
  </si>
  <si>
    <t xml:space="preserve">Минстрой МО, МО муниципальный округ город Оленегорск с п.т. Мурманской области
</t>
  </si>
  <si>
    <t>общая площадь - 10,4 га,
площадь захор. - 5,4,
кол-во захор. - 6000,
срок эксплуатации - 40 лет</t>
  </si>
  <si>
    <t xml:space="preserve">319311,9 с учетом затрат на разработку ПСД 1464,1 за счет МБ
</t>
  </si>
  <si>
    <t>Завершено строительство 1 этапа в (S в границах проектирования – 41.4 тыс. кв. м; Количество могил – 1382)
Стоимость составила  124 589,3 тыс. руб. дальнейшая реализация мероприятия не планируется</t>
  </si>
  <si>
    <t>МО г. Мурманск</t>
  </si>
  <si>
    <t xml:space="preserve">общая площадь - 74,3 га,
площадь захоронения - 16,0 га,
кол-во захоронений - 13891,
срок эксплуатации - 40 лет
</t>
  </si>
  <si>
    <t xml:space="preserve">
Заключено 9 муниципальных контрактов, в том числе:                                                                                                                 - 6 МК работы выполнены и оплачены в полном объеме                                                                                                              - 3 МК работы выполнены и оплачены частично.
На 2024 год в бюджете муниципалитета было предусмотрено 300 986,1 т. р., кассовый расход составил 242 536,9 т.р. 
1 этап.- работы завершены.
2 этап -исключен на этапе проектирования.
3 этап - в работе. Техническая готовность -70%  (временно работы приостановлены. Сезонные работы)
4 этап  в работе. Техническая готовность -50%  (временно работы приостановлены. Сезонные работы)
5 этап в работе. Техническая готовность - 10%  (подготовительные работы)</t>
  </si>
  <si>
    <t>с учетом затрат на разработку ПСД</t>
  </si>
  <si>
    <t>Строительство и развитие нового городского кладбища в районе п.г.т. Сафоново Мурманской области</t>
  </si>
  <si>
    <t>Минстрой МО, МО городской округ ЗАТО г. Североморск Мурманской области</t>
  </si>
  <si>
    <t>общая площадь - 10,4 га; площадь захор. -5,4; кол-во захор.-6000; срок эксплуатации -40 лет</t>
  </si>
  <si>
    <t>Подготовлена конкурсная документация</t>
  </si>
  <si>
    <t>Новое городское кладбище муниципального образования ЗАТО Александровс</t>
  </si>
  <si>
    <t>Минстрой МО, МО городской округ ЗАТО Александровск</t>
  </si>
  <si>
    <t>общая площадь-5,0 га; кол-во захор. - 12000</t>
  </si>
  <si>
    <t>138145,2 с учетом затрат на разработку ПСД (на основании укрупненного норматива)</t>
  </si>
  <si>
    <t>11.10.2024 заключен контракт на выполнение работ по разработке проектной документации и строительству объекта.</t>
  </si>
  <si>
    <t>Разработка проектной документации и строительство Центра питания городской сети (электроснабжение) в ЗАТО г. Североморск</t>
  </si>
  <si>
    <t>18 МВт</t>
  </si>
  <si>
    <t>Разрабатывается ПСД (завершение в 2025 г.)</t>
  </si>
  <si>
    <t>Разработка проектной документации и строительство нового детского сада на 220 мест в г. Гаджиево</t>
  </si>
  <si>
    <t>Минстрой МО, МО городской округ ЗАТО Александровск Мурманской области, 
г. Гаджиево</t>
  </si>
  <si>
    <t>220 мест</t>
  </si>
  <si>
    <t>Разработка проектной документации и строительство детского сада на 250 мест</t>
  </si>
  <si>
    <t>Минстрой МО, МО городской округ  ЗАТО п. Видяево Мурманской области</t>
  </si>
  <si>
    <t>250 мест</t>
  </si>
  <si>
    <t>Выполнение работ по проектированию, 
строительству и вводу в эксплуатацию объекта 
капитального строительства «Детский сад на 350 мест в 
п.г.т. Печенга»</t>
  </si>
  <si>
    <t>Минстрой МО, МО Печенгский муниципальный округ Мурманской области, п.г.т. Печенга</t>
  </si>
  <si>
    <t>350 мест</t>
  </si>
  <si>
    <t>Разница между СБР и кассой в связи со сложившейся экономией по результатам контрактования, которая была возвращена ГРБС после 01.01.25.
Разрабатывается ПСД (завершение в 2025 г.)</t>
  </si>
  <si>
    <t>Разработка проектной документации и строительство здания детского сада на 250 мест в п. Корзуново</t>
  </si>
  <si>
    <t>Минстрой МО, МО Печенгский муниципальный округ Мурманской области, п. Корзуново</t>
  </si>
  <si>
    <t>Разработка проектной документации и строительство здания школы на 450 мест с дошкольными группами на 100 мест в с. Алакуртти</t>
  </si>
  <si>
    <t xml:space="preserve">Минстрой МО, МО Кандалакшский муниципальный район Мурманской области, </t>
  </si>
  <si>
    <t>550 мест</t>
  </si>
  <si>
    <t>Разработка проектной документации и строительство детского сада на 75 мест в            н.п. Килпъявр</t>
  </si>
  <si>
    <t>Минстрой МО, МО Кольский муниципальный район Мурманской области,
н.п. Килпъявр</t>
  </si>
  <si>
    <t>75 мест</t>
  </si>
  <si>
    <t>Ввод нового жилья для переселения граждан из аварийного жилищного фонда общей площадью 942,41 кв.м</t>
  </si>
  <si>
    <t>05.07.2024 получено разрешение на ввод объекта в эксплуатацию.</t>
  </si>
  <si>
    <t>Ввод нового жилья для переселения граждан из аварийного жилищного фонда общей площадью 2777,38 кв.м</t>
  </si>
  <si>
    <t>20.12.2024 получено разрешение на ввод объекта в эксплуатацию.</t>
  </si>
  <si>
    <t>Ввод нового жилья для переселения граждан из аварийного жилищного фонда общей площадью 1380,9 кв.м</t>
  </si>
  <si>
    <t>В настоящее время строительство приостановлено. Техническая готовность 0%</t>
  </si>
  <si>
    <t>Ввод нового жилья для переселения граждан из аварийного жилищного фонда общей площадью 3582,99 кв.м</t>
  </si>
  <si>
    <t xml:space="preserve">Техническая готовность -77%. Возведен каркас здания, ведутся внутренние отделочные работ. А также продолжается выполнение утепления навесного вентилируемого фасада. </t>
  </si>
  <si>
    <t>Ввод нового жилья для переселения граждан из аварийного жилищного фонда общей площадью 4919,98 кв.м</t>
  </si>
  <si>
    <t>МКД №3: Техническая готовность 4,5%. Выполнена разработка котлована с устройством основания, ведутся работы по устройству армокаркаса плиты фундамента, в 1/2 выполнена бетонирование плиты, подрядчик приступил к армированию стен подвала.</t>
  </si>
  <si>
    <t>Ввод нового жилья для переселения граждан из аварийного жилищного фонда общей площадью     1714,12 кв.м</t>
  </si>
  <si>
    <t>23.08.2024 Объект введен в экслуатацию.</t>
  </si>
  <si>
    <t>Ввод нового жилья для переселения граждан из аварийного жилищного фонда общей площадью3440,0 кв.м</t>
  </si>
  <si>
    <t xml:space="preserve">Принято решение о нецелесообразности строительства данного МКД, в связи с высокой себестоимостью 1 кв.м.
Финансовое обеспечения данного мероприятия перераспределено на строительство 4-го МКД по ул. Кирпичная в г. Мурманске, для переселения граждан из аварийного жилого фонда.
</t>
  </si>
  <si>
    <t>Ввод нового жилья для переселения граждан из аварийного жилищного фонда общей площадью   6553,15 кв. м</t>
  </si>
  <si>
    <t>МКД ул. Зеленая Техническая готовность 17%
Проектная документация разработана направлена в экспертизу (за исключением смет), входящий контроль пройден, эксперты рассматривают. Подрядчик выполняет работы по устройству армакаркасу стен подвала.</t>
  </si>
  <si>
    <t>Минстрой МО, ГОУП  "Мурманск-водоканал"</t>
  </si>
  <si>
    <t>Техническая готовность 100%. Работы завершены в декабре 2024 году.
312,8 т.р. -экономия по результатам приемки работ.</t>
  </si>
  <si>
    <t>Разработка ПД 2022 год
Строительство 2022-2023 годы</t>
  </si>
  <si>
    <t>Техническая готовность 100%. Работы завершены.</t>
  </si>
  <si>
    <t xml:space="preserve">Разработка ПД - 2022 год.
Строительство - 2023 - 2024 годы
</t>
  </si>
  <si>
    <t>Техническая готовность 100%. Работы завершены в декабре 2024 году
29 427,8 т.р. -экономия по результатам приемки работ.</t>
  </si>
  <si>
    <t>Реконструкция котельной № 13/73 
пгт. Печенга Печенгский муниципальный округ Мурманской области</t>
  </si>
  <si>
    <t>Минстрой МО, МО Печенгский муниципальный округ, концессионер</t>
  </si>
  <si>
    <t>2024-разработка ПД, 2024-2025 - строительство, 2025 - ввод объекта в эксплуатацию</t>
  </si>
  <si>
    <t>Заключено концессионное соглашение, концессионеру перечислен  капгранд. По концессионному соглашению приемка работ не осуществляется, мероприятие будет выполнено после регистрации права собственности на объект концедента.
Выполняется проектирование.</t>
  </si>
  <si>
    <t>Реконструкция котельной № 13/55 
пгт. Печенга Печенгский муниципальный округ Мурманской области</t>
  </si>
  <si>
    <t>2024-разработка ПД, 2024-2025 строительство, 2025 - ввод объекта в эксплуатацию</t>
  </si>
  <si>
    <t>55</t>
  </si>
  <si>
    <t>Реконструкция котельной № 4/152 ж/д ст. Печенга Печенгский муниципальный округ Мурманской области</t>
  </si>
  <si>
    <t>56</t>
  </si>
  <si>
    <t>Реконструкция котельной № 42/138 н.п. Спутник Печенгский муниципальный округ Мурманской области</t>
  </si>
  <si>
    <t>57</t>
  </si>
  <si>
    <t>Реконструкия тепловой сети котельной № 13/73 ул. Стадионная пгт. Печенга Печенгский муниципальный округ Мурманской области. Сеть ЦО и ГВС по участкам: От котельной до узла распределения точка «А» в районе ТК-1; От точки «А» в районе ТК-1 в сторону МКД № 7 до МКД № 8   через МКД № 5 с ответвлением на МКД № 10; От точки «А» в районе ТК-1 в сторону МКД № 4 до МКД № 9 через МКД № 3</t>
  </si>
  <si>
    <t>58</t>
  </si>
  <si>
    <t>Реконструкция тепловой сети котельной № 13/55 пгт. Печенга Печенгский муниципальный округ Мурманской области. Сеть ЦО по участкам: От ТК в районе котельной № 13/55 до угла МКД № 10; От МКД № 10 до МКД № 6 через МКД № 12 и МКД № 11;  Ответвления от МКД № 10 до МКД № 8, от МКД № 12 до МКД № 7; от МКД № 11 до МКД № 6;  От угла МКД № 11 до Дома офицеров; От угла МКД № 11 до МКД № 4; От МКД № 4 до МКД № 3</t>
  </si>
  <si>
    <t>59</t>
  </si>
  <si>
    <t>Реконструкция тепловой сети котельной № 4/152 ж/д ст. 19 км. пгт. Печенга Печенгский муниципальный округ Мурманской области. Сеть ЦО по участкам: От точки врезки от центральной трассы до точки врезки в МКД № 2, транзитом через МКД № 2 до точки врезки в МКД № 4; От точки врезки от центральной трассы до точки врезки в МКД № 3; От точки врезки от центральной трассы до точки врезки в МКД № 1; От угла МКД № 1 до ТК № 1 возле дороги.  Сеть ГВС по участкам: От точки врезки от центральной трассы до точки врезки в МКД № 2, транзитом через МКД № 2 до точки врезки в МКД № 4; От точки врезки от центральной трассы до точки врезки в МКД № 3; От точки врезки от центральной трассы до точки врезки в МКД № 1</t>
  </si>
  <si>
    <t>2024-разработка ПД, строительство, ввод объекта в эксплуатацию</t>
  </si>
  <si>
    <t>Заключено концессионное соглашение, концессионеру перечислен  капгранд. По концессионному соглашению приемка работ не осуществляется, мероприятие будет выполнено после регистрации права собственности на объект концедента.
Выполняется проектирование.
Срок реализации перенесен на 2025 год в связи с поздним заключением концессионного соглашения (постановление Губернатора Мурманской области № 35-ПГ от 24.03.2025)</t>
  </si>
  <si>
    <t>60</t>
  </si>
  <si>
    <t>Реконструкция тепловой сети от котельной № 42/138 ул. Новая, н.п. Спутник Печенгский муниципальный округ Мурманской области.  Сеть ЦО по участкам: 
От котельной № 138 до ТК № 2 (возле МКД № 16);  От центральной трассы до точки врезки в МКД № 8 ;  От ТК №2 до МКД № 16; От ТК № 2 до МКД № 19 ; От ТК 2 до ТК № 3 (возле МКД 17) ;  От ТК № 3 до МКД № 17;  От ТК 3 до МКД № 21;  От ТК 3 до МКД №  20;  От котельной  № 138 до ТК № 1 (возле КПП);  От ТК № 1 до детского сада № 13;  От центральной трассы до точки врезки в МКД № 18;  От центральной трассы до точки врезки в МКД № 20.
Сеть ГВС по участкам:  От котельной № 138 до ТК № 2 (возле МКД № 16);  От ТК №2 до МКД № 16;  От ТК № 2 до МКД № 19;  От ТК 2 до ТК № 3 (возле МКД 17);  От тк № 3 до МКД № 17; От ТК 3 до МКД № 21; От ТК 3 до МКД №  20;  От компенсатора котельной  № 138 до ТК № 1 (возле КПП)</t>
  </si>
  <si>
    <t>61</t>
  </si>
  <si>
    <t xml:space="preserve">Реконструкция централизованной системы водоснабжения п.г.т. Печенга и железнодорожной станции "Печенга" Печенгского муниципального округа Мурманской области </t>
  </si>
  <si>
    <t>Минстрой МО, МО Печенгский муниципальный округГОУП  "Мурманскводоканал"</t>
  </si>
  <si>
    <t>2024 - 2025 разработка ПД,                             2026 -реконструкция,  ввод объекта в эксплуатацию</t>
  </si>
  <si>
    <t>Подготовлена конкурсная документация
Средства перечисленны заказчику</t>
  </si>
  <si>
    <t>62</t>
  </si>
  <si>
    <t xml:space="preserve">Реконструкция централизованной системы водоотведения п.г.т. Печенга Печенгского муниципального округа Мурманской области </t>
  </si>
  <si>
    <t>Минстрой МО, МО Печенгский муниципальный округ ГОУП  "Мурманскводоканал"</t>
  </si>
  <si>
    <t>63</t>
  </si>
  <si>
    <t xml:space="preserve">Реконструкция централизованной системы водоснабжения н.п. Спутник Печенгского муниципального округа Мурманской области </t>
  </si>
  <si>
    <t>64</t>
  </si>
  <si>
    <t xml:space="preserve">Реконструкция централизованной системы водоотведения н.п. Спутник Печенгского муниципального округа Мурманской области </t>
  </si>
  <si>
    <t>65</t>
  </si>
  <si>
    <t xml:space="preserve">Минэнерго и ЖКХ МО,
Минстрой МО, АО "МЭС"
</t>
  </si>
  <si>
    <t>66</t>
  </si>
  <si>
    <t>объект введен в эксплуатацию</t>
  </si>
  <si>
    <t>67</t>
  </si>
  <si>
    <t>Реконструкция магистрального водовода Д=329 мм от сопки "Маячная" от РЧВ сопки "М" до колодца В-481 на ул. Восточная</t>
  </si>
  <si>
    <t>Минэнерго и ЖКХ МО, ЗАТО г. Североморск</t>
  </si>
  <si>
    <t xml:space="preserve">Строительство 2024 </t>
  </si>
  <si>
    <t>68</t>
  </si>
  <si>
    <t>Реконструкция магистрального водовода Д=426 мм от Мурманского шоссе колодец В-216 по ул. Заводской до колодца В-796</t>
  </si>
  <si>
    <t>Строительство 2025</t>
  </si>
  <si>
    <t>69</t>
  </si>
  <si>
    <t>Строительство
- 2024 г.</t>
  </si>
  <si>
    <t xml:space="preserve">Проектной организации перечислен аванс в сумме
1 345,41 т. р., проект разработан. По состоянию на 01.01.2025 заключение экспертизы не получено, работы не приняты. Причина отставания - дополнительные работы в виду обнаружения в границах строительства скального грунта.
</t>
  </si>
  <si>
    <t>Разработка ПД - 2024 г., строительство - 2025 г</t>
  </si>
  <si>
    <t>Проектной организации перечислен аванс в сумме
1 591,63 т. р., проект разработан. По состоянию на 01.01.2025 заключение экспертизы не получено, работы не приняты. Причина отставания - дополнительные работы в виду попадания в границы строительства сущесвующей ливневой канализации.</t>
  </si>
  <si>
    <t>71</t>
  </si>
  <si>
    <t xml:space="preserve">Канализационный коллектор по ул. Кировская в г.п. Кандалакша от КК 570 до КК 699
</t>
  </si>
  <si>
    <t>Минэнерго и ЖКХ МО, МО г.п. Кандалакша Кандалакшского муниципального района</t>
  </si>
  <si>
    <t xml:space="preserve">Строительство </t>
  </si>
  <si>
    <t>72</t>
  </si>
  <si>
    <t>Строительство системы водоотведения к объекту "Жилой дом по ул. Бондарная"</t>
  </si>
  <si>
    <t>Минэнерго и ЖКХ, Минстрой МО, муниципальное образование город Мурманск</t>
  </si>
  <si>
    <t>Строительные работы завершены, по состоянию на 01.01.2025 заказчиком работы не приянты.
Отствавние в связи с непредоставлением подрядной организацией актов выполненных работ.</t>
  </si>
  <si>
    <t>73</t>
  </si>
  <si>
    <t>Реконструкция склада ГСМ котельной ТЦ-345 (ОПО А26-00997-0068) (проектирование и СМР)</t>
  </si>
  <si>
    <t>Минэнерго и ЖКХ МО, РСО</t>
  </si>
  <si>
    <t>Разработка ПД в 2024-2025 годах, смр в 2024-2025 годах</t>
  </si>
  <si>
    <t>Дата заключения контракта на ПИР – 19.12.2024, СМРне заключен, строительная готовность – 0%</t>
  </si>
  <si>
    <t>74</t>
  </si>
  <si>
    <t>Реконструкция склада ГСМ (ОПО А26-00997-0072) котельной ТЦ-452 (проектирование и СМР)</t>
  </si>
  <si>
    <t>Заключен контракт на ПИР+СМР – 05.09.2024, строительная готовность –0%.</t>
  </si>
  <si>
    <t>75</t>
  </si>
  <si>
    <t>Реконструкция склада ГСМ котельной ТЦ-46 (ОПО А26-00997-0070) (проектирование и СМР)</t>
  </si>
  <si>
    <t>Дата заключения контракта на ПИР - 19.12.2024СМР–не заключен,, строительная готовность – 0%,</t>
  </si>
  <si>
    <t>76</t>
  </si>
  <si>
    <t>Реконструкция склада ГСМ (ОПО А26-00997-0074) котельной 269 ТЦ (проектирование и СМР)</t>
  </si>
  <si>
    <t xml:space="preserve">Заключен контракт на ПИР+СМР – 21.08.2024,строительная готовность –0%, </t>
  </si>
  <si>
    <t>77</t>
  </si>
  <si>
    <t>Реконструкция склада ГСМ котельной ТЦ-33 (ОПО А26-00997-0076) (проектирование и СМР)</t>
  </si>
  <si>
    <t>Заключен контракт на ПИР+СМР – 21.08.2024, строительная готовность –0%</t>
  </si>
  <si>
    <t>78</t>
  </si>
  <si>
    <t>Реконструкция склада ГСМ (ОПО А26-00997-0026) котельная н.п. Высокий (Оленегорск-8)(проектирование и СМР)</t>
  </si>
  <si>
    <t>Дата заключения контракта на ПИР 20.12.2024 СМР не заключен, строительная готовность – 0%,</t>
  </si>
  <si>
    <t>79</t>
  </si>
  <si>
    <t>Модернизация системы теплоснабжения мкр-на Дровяное г. Мурманска с переходом на биотопливо взамен угольной генерации тепловой энергии</t>
  </si>
  <si>
    <t>Минстрой ПО, Минэнерго МО, МО г. Мурманск, концессионер</t>
  </si>
  <si>
    <t>Разработка ПД и смр в 2024 г.</t>
  </si>
  <si>
    <t>Заключено концессионное соглашение, концессионеру перечислен  капгранд. По концессионному соглашению приемка работ не осуществляется, мероприятие будет выполнено после регистрации права собственности на объект концедента.
Срок реализации мероприятия перенесен на 2025 год (Постановление Губернатора Мурмнской области от 24.01.2025 № 5-ПГ) в связи с задержкой изготовления котельных в виду ограниченных производственных мощностей завода-изготовителя.</t>
  </si>
  <si>
    <t>80</t>
  </si>
  <si>
    <t>Заключено концессионное соглашение, концессионеру перечислен  капгранд. По концессионному соглашению приемка работ не осуществляется, мероприятие будет выполнено после регистрации права собственности на объект концедента.
.Срок реализации мероприятия перенесен на 2025 год (Постановление Губернатора Мурмнской области от 24.01.2025 № 5-ПГ) в связи с задержкой изготовления котельных в виду ограниченных производственных мощностей завода-изготовителя.</t>
  </si>
  <si>
    <t>81</t>
  </si>
  <si>
    <t>Модернизация системы теплоснабжения н.п. 25 км ж/д Мончегорск-Оленья (г. Мончегорск) с переходом на биотопливо взамен угольной генерации тепловой энергии</t>
  </si>
  <si>
    <t>Минстрой ПО, Минэнерго МО, МО г. Мончегорск, ООО "Тепло людям. Кандалакша"</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</si>
</sst>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 #,##0.00\ &quot;₽&quot;_-;\-* #,##0.00\ &quot;₽&quot;_-;_-* &quot;-&quot;??\ &quot;₽&quot;_-;_-@_-"/>
    <numFmt numFmtId="43" formatCode="_-* #,##0.00\ _₽_-;\-* #,##0.00\ _₽_-;_-* &quot;-&quot;??\ _₽_-;_-@_-"/>
    <numFmt numFmtId="164" formatCode="#,##0.0"/>
    <numFmt numFmtId="165" formatCode="#,##0.000"/>
    <numFmt numFmtId="166" formatCode="0.0%"/>
    <numFmt numFmtId="167" formatCode="0.0"/>
    <numFmt numFmtId="168" formatCode="0.000"/>
    <numFmt numFmtId="169" formatCode="#,##0.00000"/>
    <numFmt numFmtId="170" formatCode="0.0000"/>
  </numFmts>
  <fonts count="89" x14ac:knownFonts="1">
    <font>
      <sz val="11"/>
      <color theme="1"/>
      <name val="Calibri"/>
      <family val="2"/>
      <charset val="204"/>
      <scheme val="minor"/>
    </font>
    <font>
      <sz val="11"/>
      <color rgb="FF9C0006"/>
      <name val="Calibri"/>
      <family val="2"/>
      <charset val="204"/>
      <scheme val="minor"/>
    </font>
    <font>
      <sz val="8"/>
      <color theme="1"/>
      <name val="Times New Roman"/>
      <family val="1"/>
      <charset val="204"/>
    </font>
    <font>
      <sz val="10"/>
      <name val="Arial"/>
      <family val="2"/>
      <charset val="204"/>
    </font>
    <font>
      <sz val="10"/>
      <color rgb="FF000000"/>
      <name val="Arial Cyr"/>
      <family val="2"/>
    </font>
    <font>
      <sz val="10"/>
      <color rgb="FF000000"/>
      <name val="Arial Cyr"/>
    </font>
    <font>
      <b/>
      <sz val="14"/>
      <color theme="1"/>
      <name val="Times New Roman"/>
      <family val="1"/>
      <charset val="204"/>
    </font>
    <font>
      <sz val="12"/>
      <name val="Times New Roman"/>
      <family val="1"/>
      <charset val="204"/>
    </font>
    <font>
      <sz val="12"/>
      <color theme="1"/>
      <name val="Times New Roman"/>
      <family val="1"/>
      <charset val="204"/>
    </font>
    <font>
      <sz val="11"/>
      <color theme="1"/>
      <name val="Calibri"/>
      <family val="2"/>
      <charset val="204"/>
      <scheme val="minor"/>
    </font>
    <font>
      <sz val="11"/>
      <color rgb="FF006100"/>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b/>
      <sz val="8"/>
      <name val="Times New Roman"/>
      <family val="1"/>
      <charset val="204"/>
    </font>
    <font>
      <sz val="8"/>
      <name val="Times New Roman"/>
      <family val="1"/>
      <charset val="204"/>
    </font>
    <font>
      <sz val="9"/>
      <name val="Times New Roman"/>
      <family val="1"/>
      <charset val="204"/>
    </font>
    <font>
      <sz val="10"/>
      <color rgb="FF000000"/>
      <name val="Arial"/>
      <family val="2"/>
      <charset val="204"/>
    </font>
    <font>
      <b/>
      <sz val="15"/>
      <color theme="3"/>
      <name val="Calibri"/>
      <family val="2"/>
      <scheme val="minor"/>
    </font>
    <font>
      <b/>
      <sz val="13"/>
      <color theme="3"/>
      <name val="Calibri"/>
      <family val="2"/>
      <scheme val="minor"/>
    </font>
    <font>
      <b/>
      <sz val="11"/>
      <color theme="3"/>
      <name val="Calibri"/>
      <family val="2"/>
      <scheme val="minor"/>
    </font>
    <font>
      <sz val="11"/>
      <color indexed="8"/>
      <name val="Calibri"/>
      <family val="2"/>
      <charset val="204"/>
    </font>
    <font>
      <b/>
      <sz val="18"/>
      <color theme="3"/>
      <name val="Cambria"/>
      <family val="2"/>
      <charset val="204"/>
    </font>
    <font>
      <sz val="10"/>
      <name val="Arial Cyr"/>
      <charset val="204"/>
    </font>
    <font>
      <sz val="10"/>
      <color theme="1"/>
      <name val="Times New Roman"/>
      <family val="2"/>
      <charset val="204"/>
    </font>
    <font>
      <sz val="10"/>
      <name val="Helv"/>
    </font>
    <font>
      <sz val="10"/>
      <color indexed="8"/>
      <name val="Times New Roman"/>
      <family val="2"/>
      <charset val="204"/>
    </font>
    <font>
      <sz val="8"/>
      <color indexed="8"/>
      <name val="Times New Roman"/>
      <family val="1"/>
      <charset val="204"/>
    </font>
    <font>
      <sz val="8"/>
      <color theme="1"/>
      <name val="Calibri"/>
      <family val="2"/>
      <charset val="204"/>
      <scheme val="minor"/>
    </font>
    <font>
      <b/>
      <sz val="9"/>
      <name val="Times New Roman"/>
      <family val="1"/>
      <charset val="204"/>
    </font>
    <font>
      <b/>
      <sz val="12"/>
      <name val="Times New Roman"/>
      <family val="1"/>
      <charset val="204"/>
    </font>
    <font>
      <sz val="11"/>
      <name val="Times New Roman"/>
      <family val="1"/>
      <charset val="204"/>
    </font>
    <font>
      <sz val="12"/>
      <color indexed="8"/>
      <name val="Times New Roman"/>
      <family val="1"/>
      <charset val="204"/>
    </font>
    <font>
      <b/>
      <sz val="12"/>
      <color indexed="8"/>
      <name val="Times New Roman"/>
      <family val="1"/>
      <charset val="204"/>
    </font>
    <font>
      <sz val="10"/>
      <color indexed="8"/>
      <name val="Arial"/>
      <family val="2"/>
      <charset val="204"/>
    </font>
    <font>
      <sz val="8"/>
      <name val="Times New Roman"/>
      <family val="1"/>
    </font>
    <font>
      <sz val="11"/>
      <color indexed="8"/>
      <name val="Times New Roman"/>
      <family val="2"/>
      <charset val="204"/>
    </font>
    <font>
      <b/>
      <sz val="11"/>
      <color indexed="8"/>
      <name val="Times New Roman"/>
      <family val="1"/>
      <charset val="204"/>
    </font>
    <font>
      <sz val="11"/>
      <color indexed="8"/>
      <name val="Times New Roman"/>
      <family val="1"/>
      <charset val="204"/>
    </font>
    <font>
      <sz val="8"/>
      <color indexed="8"/>
      <name val="Times New Roman"/>
      <family val="2"/>
      <charset val="204"/>
    </font>
    <font>
      <sz val="8"/>
      <name val="Times New Roman"/>
      <family val="2"/>
      <charset val="204"/>
    </font>
    <font>
      <b/>
      <sz val="8"/>
      <name val="Times New Roman"/>
      <family val="2"/>
      <charset val="204"/>
    </font>
    <font>
      <b/>
      <u/>
      <sz val="9"/>
      <name val="Times New Roman"/>
      <family val="1"/>
      <charset val="204"/>
    </font>
    <font>
      <sz val="10"/>
      <color indexed="8"/>
      <name val="Times New Roman"/>
      <family val="1"/>
      <charset val="204"/>
    </font>
    <font>
      <b/>
      <sz val="8"/>
      <name val="Arial"/>
      <family val="2"/>
      <charset val="204"/>
    </font>
    <font>
      <b/>
      <sz val="8"/>
      <color rgb="FF333333"/>
      <name val="Times New Roman"/>
      <family val="1"/>
      <charset val="204"/>
    </font>
    <font>
      <sz val="8"/>
      <color rgb="FF333333"/>
      <name val="Times New Roman"/>
      <family val="1"/>
      <charset val="204"/>
    </font>
    <font>
      <sz val="8"/>
      <name val="Arial"/>
      <family val="2"/>
      <charset val="204"/>
    </font>
    <font>
      <sz val="8"/>
      <color rgb="FF0070C0"/>
      <name val="Wingdings 3"/>
      <family val="1"/>
      <charset val="2"/>
    </font>
    <font>
      <sz val="8"/>
      <color rgb="FF00B050"/>
      <name val="Wingdings 3"/>
      <family val="1"/>
      <charset val="2"/>
    </font>
    <font>
      <u/>
      <sz val="11"/>
      <color theme="10"/>
      <name val="Calibri"/>
      <family val="2"/>
      <charset val="204"/>
      <scheme val="minor"/>
    </font>
    <font>
      <sz val="8"/>
      <name val="Calibri"/>
      <family val="2"/>
      <charset val="204"/>
    </font>
    <font>
      <sz val="8"/>
      <color rgb="FF000000"/>
      <name val="Times New Roman"/>
      <family val="1"/>
      <charset val="204"/>
    </font>
    <font>
      <b/>
      <sz val="8"/>
      <name val="Calibri"/>
      <family val="2"/>
      <charset val="204"/>
    </font>
    <font>
      <sz val="8"/>
      <color theme="1"/>
      <name val="Times New Roman"/>
      <family val="1"/>
    </font>
    <font>
      <b/>
      <sz val="8"/>
      <name val="Times New Roman"/>
      <family val="1"/>
    </font>
    <font>
      <b/>
      <sz val="12"/>
      <color rgb="FF333333"/>
      <name val="Times New Roman"/>
      <family val="1"/>
      <charset val="204"/>
    </font>
    <font>
      <b/>
      <sz val="8"/>
      <color theme="1"/>
      <name val="Times New Roman"/>
      <family val="1"/>
      <charset val="204"/>
    </font>
    <font>
      <sz val="12"/>
      <color indexed="8"/>
      <name val="Times New Roman"/>
      <family val="2"/>
      <charset val="204"/>
    </font>
    <font>
      <sz val="10"/>
      <color theme="1"/>
      <name val="Times New Roman"/>
      <family val="1"/>
      <charset val="204"/>
    </font>
    <font>
      <b/>
      <sz val="10"/>
      <name val="Wingdings"/>
      <charset val="2"/>
    </font>
    <font>
      <b/>
      <sz val="10"/>
      <name val="Times New Roman"/>
      <family val="1"/>
      <charset val="204"/>
    </font>
    <font>
      <b/>
      <sz val="12"/>
      <color theme="1"/>
      <name val="Times New Roman"/>
      <family val="1"/>
      <charset val="204"/>
    </font>
    <font>
      <sz val="8"/>
      <name val="Calibri"/>
      <family val="2"/>
      <charset val="204"/>
      <scheme val="minor"/>
    </font>
    <font>
      <sz val="10"/>
      <color rgb="FF000000"/>
      <name val="Times New Roman"/>
      <family val="1"/>
      <charset val="204"/>
    </font>
    <font>
      <b/>
      <sz val="11"/>
      <color theme="1"/>
      <name val="Times New Roman"/>
      <family val="1"/>
      <charset val="204"/>
    </font>
    <font>
      <b/>
      <sz val="8"/>
      <color rgb="FF000000"/>
      <name val="Times New Roman"/>
      <family val="1"/>
      <charset val="204"/>
    </font>
    <font>
      <sz val="11"/>
      <color theme="1"/>
      <name val="Times"/>
      <family val="1"/>
    </font>
    <font>
      <b/>
      <sz val="11"/>
      <name val="Wingdings"/>
      <charset val="2"/>
    </font>
    <font>
      <b/>
      <sz val="11"/>
      <name val="Times New Roman"/>
      <family val="1"/>
      <charset val="204"/>
    </font>
    <font>
      <sz val="12"/>
      <color indexed="64"/>
      <name val="Times New Roman"/>
      <family val="1"/>
      <charset val="204"/>
    </font>
    <font>
      <sz val="11"/>
      <color theme="1"/>
      <name val="Times New Roman"/>
      <family val="1"/>
      <charset val="204"/>
    </font>
    <font>
      <b/>
      <i/>
      <sz val="8"/>
      <name val="Times New Roman"/>
      <family val="1"/>
      <charset val="204"/>
    </font>
    <font>
      <sz val="10"/>
      <name val="Times New Roman"/>
      <family val="1"/>
      <charset val="204"/>
    </font>
    <font>
      <sz val="10"/>
      <name val="Arial"/>
    </font>
    <font>
      <sz val="9"/>
      <color theme="1"/>
      <name val="Times New Roman"/>
      <family val="1"/>
      <charset val="204"/>
    </font>
    <font>
      <sz val="12"/>
      <name val="Times New Roman"/>
    </font>
    <font>
      <sz val="12"/>
      <color indexed="64"/>
      <name val="Times New Roman"/>
    </font>
    <font>
      <sz val="11"/>
      <color theme="1"/>
      <name val="Calibri"/>
      <scheme val="minor"/>
    </font>
    <font>
      <sz val="10"/>
      <color indexed="10"/>
      <name val="Times New Roman"/>
      <family val="1"/>
      <charset val="204"/>
    </font>
    <font>
      <i/>
      <sz val="8"/>
      <name val="Times New Roman"/>
      <family val="1"/>
      <charset val="204"/>
    </font>
    <font>
      <sz val="8"/>
      <color indexed="2"/>
      <name val="Times New Roman"/>
      <family val="1"/>
      <charset val="204"/>
    </font>
  </fonts>
  <fills count="54">
    <fill>
      <patternFill patternType="none"/>
    </fill>
    <fill>
      <patternFill patternType="gray125"/>
    </fill>
    <fill>
      <patternFill patternType="solid">
        <fgColor rgb="FFFFC7CE"/>
      </patternFill>
    </fill>
    <fill>
      <patternFill patternType="solid">
        <fgColor theme="0"/>
        <bgColor indexed="64"/>
      </patternFill>
    </fill>
    <fill>
      <patternFill patternType="solid">
        <fgColor rgb="FF99FF99"/>
        <bgColor indexed="64"/>
      </patternFill>
    </fill>
    <fill>
      <patternFill patternType="solid">
        <fgColor theme="0" tint="-0.14999847407452621"/>
        <bgColor indexed="64"/>
      </patternFill>
    </fill>
    <fill>
      <patternFill patternType="solid">
        <fgColor theme="4" tint="0.80001220740379042"/>
        <bgColor indexed="64"/>
      </patternFill>
    </fill>
    <fill>
      <patternFill patternType="solid">
        <fgColor theme="5" tint="0.80001220740379042"/>
        <bgColor indexed="64"/>
      </patternFill>
    </fill>
    <fill>
      <patternFill patternType="solid">
        <fgColor indexed="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indexed="11"/>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solid">
        <fgColor indexed="65"/>
        <bgColor indexed="64"/>
      </patternFill>
    </fill>
    <fill>
      <patternFill patternType="solid">
        <fgColor rgb="FFFFFF00"/>
        <bgColor indexed="64"/>
      </patternFill>
    </fill>
    <fill>
      <patternFill patternType="solid">
        <fgColor theme="5" tint="0.79998168889431442"/>
        <bgColor indexed="64"/>
      </patternFill>
    </fill>
    <fill>
      <patternFill patternType="solid">
        <fgColor indexed="9"/>
        <bgColor indexed="64"/>
      </patternFill>
    </fill>
    <fill>
      <patternFill patternType="solid">
        <fgColor rgb="FFFFC000"/>
        <bgColor indexed="64"/>
      </patternFill>
    </fill>
    <fill>
      <patternFill patternType="solid">
        <fgColor theme="0"/>
        <bgColor theme="0"/>
      </patternFill>
    </fill>
    <fill>
      <patternFill patternType="solid">
        <fgColor rgb="FFE6B9B8"/>
        <bgColor indexed="64"/>
      </patternFill>
    </fill>
    <fill>
      <patternFill patternType="solid">
        <fgColor rgb="FF00FF99"/>
        <bgColor indexed="64"/>
      </patternFill>
    </fill>
    <fill>
      <patternFill patternType="solid">
        <fgColor theme="3" tint="0.79998168889431442"/>
        <bgColor indexed="64"/>
      </patternFill>
    </fill>
    <fill>
      <patternFill patternType="solid">
        <fgColor indexed="22"/>
        <bgColor indexed="64"/>
      </patternFill>
    </fill>
    <fill>
      <patternFill patternType="solid">
        <fgColor rgb="FFCCFFCC"/>
        <bgColor indexed="64"/>
      </patternFill>
    </fill>
    <fill>
      <patternFill patternType="solid">
        <fgColor theme="0" tint="-0.249977111117893"/>
        <bgColor indexed="64"/>
      </patternFill>
    </fill>
    <fill>
      <patternFill patternType="solid">
        <fgColor rgb="FFFFFFFF"/>
        <bgColor indexed="64"/>
      </patternFill>
    </fill>
    <fill>
      <patternFill patternType="solid">
        <fgColor rgb="FFFF8181"/>
        <bgColor indexed="64"/>
      </patternFill>
    </fill>
    <fill>
      <patternFill patternType="solid">
        <fgColor theme="0"/>
        <bgColor indexed="5"/>
      </patternFill>
    </fill>
    <fill>
      <patternFill patternType="solid">
        <fgColor theme="0"/>
        <bgColor theme="4" tint="0.39997558519241921"/>
      </patternFill>
    </fill>
    <fill>
      <patternFill patternType="solid">
        <fgColor theme="0"/>
        <bgColor theme="7" tint="0.79998168889431442"/>
      </patternFill>
    </fill>
    <fill>
      <patternFill patternType="solid">
        <fgColor theme="0" tint="-0.14999847407452621"/>
        <bgColor theme="7" tint="0.79998168889431442"/>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D9D9D9"/>
      </left>
      <right style="thin">
        <color rgb="FFD9D9D9"/>
      </right>
      <top/>
      <bottom style="thin">
        <color rgb="FFD9D9D9"/>
      </bottom>
      <diagonal/>
    </border>
    <border>
      <left style="thin">
        <color indexed="22"/>
      </left>
      <right style="thin">
        <color indexed="22"/>
      </right>
      <top/>
      <bottom style="thin">
        <color indexed="22"/>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8"/>
      </top>
      <bottom/>
      <diagonal/>
    </border>
    <border>
      <left style="thin">
        <color indexed="64"/>
      </left>
      <right style="thin">
        <color indexed="64"/>
      </right>
      <top/>
      <bottom style="thin">
        <color indexed="8"/>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auto="1"/>
      </left>
      <right style="thin">
        <color auto="1"/>
      </right>
      <top/>
      <bottom style="thin">
        <color auto="1"/>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88">
    <xf numFmtId="0" fontId="0" fillId="0" borderId="0"/>
    <xf numFmtId="0" fontId="3" fillId="0" borderId="0"/>
    <xf numFmtId="49" fontId="4" fillId="0" borderId="10">
      <alignment horizontal="left" shrinkToFit="1"/>
    </xf>
    <xf numFmtId="4" fontId="5" fillId="0" borderId="10">
      <alignment horizontal="right" vertical="top" shrinkToFit="1"/>
    </xf>
    <xf numFmtId="0" fontId="3" fillId="0" borderId="0"/>
    <xf numFmtId="9" fontId="3" fillId="0" borderId="0" applyFont="0" applyFill="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0" fillId="14"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4" borderId="0" applyNumberFormat="0" applyBorder="0" applyAlignment="0" applyProtection="0"/>
    <xf numFmtId="0" fontId="20" fillId="25" borderId="0" applyNumberFormat="0" applyBorder="0" applyAlignment="0" applyProtection="0"/>
    <xf numFmtId="0" fontId="20" fillId="26" borderId="0" applyNumberFormat="0" applyBorder="0" applyAlignment="0" applyProtection="0"/>
    <xf numFmtId="0" fontId="20" fillId="27" borderId="0" applyNumberFormat="0" applyBorder="0" applyAlignment="0" applyProtection="0"/>
    <xf numFmtId="0" fontId="20" fillId="28" borderId="0" applyNumberFormat="0" applyBorder="0" applyAlignment="0" applyProtection="0"/>
    <xf numFmtId="0" fontId="1" fillId="29" borderId="0" applyNumberFormat="0" applyBorder="0" applyAlignment="0" applyProtection="0"/>
    <xf numFmtId="0" fontId="14" fillId="30" borderId="15" applyNumberFormat="0" applyAlignment="0" applyProtection="0"/>
    <xf numFmtId="0" fontId="16" fillId="31" borderId="18" applyNumberFormat="0" applyAlignment="0" applyProtection="0"/>
    <xf numFmtId="4" fontId="24" fillId="0" borderId="21">
      <alignment horizontal="right" vertical="top" shrinkToFit="1"/>
    </xf>
    <xf numFmtId="0" fontId="18" fillId="0" borderId="0" applyNumberFormat="0" applyFill="0" applyBorder="0" applyAlignment="0" applyProtection="0"/>
    <xf numFmtId="0" fontId="10" fillId="32" borderId="0" applyNumberFormat="0" applyBorder="0" applyAlignment="0" applyProtection="0"/>
    <xf numFmtId="0" fontId="25" fillId="0" borderId="12" applyNumberFormat="0" applyFill="0" applyAlignment="0" applyProtection="0"/>
    <xf numFmtId="0" fontId="26" fillId="0" borderId="13" applyNumberFormat="0" applyFill="0" applyAlignment="0" applyProtection="0"/>
    <xf numFmtId="0" fontId="27" fillId="0" borderId="14" applyNumberFormat="0" applyFill="0" applyAlignment="0" applyProtection="0"/>
    <xf numFmtId="0" fontId="27" fillId="0" borderId="0" applyNumberFormat="0" applyFill="0" applyBorder="0" applyAlignment="0" applyProtection="0"/>
    <xf numFmtId="0" fontId="12" fillId="33" borderId="15" applyNumberFormat="0" applyAlignment="0" applyProtection="0"/>
    <xf numFmtId="0" fontId="15" fillId="0" borderId="17" applyNumberFormat="0" applyFill="0" applyAlignment="0" applyProtection="0"/>
    <xf numFmtId="0" fontId="11" fillId="34" borderId="0" applyNumberFormat="0" applyBorder="0" applyAlignment="0" applyProtection="0"/>
    <xf numFmtId="0" fontId="28" fillId="35" borderId="19" applyNumberFormat="0" applyFont="0" applyAlignment="0" applyProtection="0"/>
    <xf numFmtId="0" fontId="13" fillId="30" borderId="16" applyNumberFormat="0" applyAlignment="0" applyProtection="0"/>
    <xf numFmtId="0" fontId="29" fillId="0" borderId="0" applyNumberFormat="0" applyFill="0" applyBorder="0" applyAlignment="0" applyProtection="0"/>
    <xf numFmtId="0" fontId="19" fillId="0" borderId="20" applyNumberFormat="0" applyFill="0" applyAlignment="0" applyProtection="0"/>
    <xf numFmtId="0" fontId="17" fillId="0" borderId="0" applyNumberFormat="0" applyFill="0" applyBorder="0" applyAlignment="0" applyProtection="0"/>
    <xf numFmtId="44" fontId="28" fillId="0" borderId="0" applyFont="0" applyFill="0" applyBorder="0" applyAlignment="0" applyProtection="0"/>
    <xf numFmtId="0" fontId="30" fillId="36" borderId="0"/>
    <xf numFmtId="0" fontId="9" fillId="0" borderId="0"/>
    <xf numFmtId="0" fontId="9" fillId="0" borderId="0"/>
    <xf numFmtId="0" fontId="9" fillId="0" borderId="0"/>
    <xf numFmtId="0" fontId="31" fillId="0" borderId="0"/>
    <xf numFmtId="0" fontId="31" fillId="0" borderId="0"/>
    <xf numFmtId="0" fontId="1" fillId="2" borderId="0" applyNumberFormat="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31" fillId="0" borderId="0" applyFont="0" applyFill="0" applyBorder="0" applyAlignment="0" applyProtection="0"/>
    <xf numFmtId="0" fontId="32" fillId="0" borderId="0"/>
    <xf numFmtId="164" fontId="28" fillId="0" borderId="0" applyFont="0" applyFill="0" applyBorder="0" applyAlignment="0" applyProtection="0"/>
    <xf numFmtId="164" fontId="28" fillId="0" borderId="0" applyFont="0" applyFill="0" applyBorder="0" applyAlignment="0" applyProtection="0"/>
    <xf numFmtId="169" fontId="33"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4" fontId="41" fillId="0" borderId="22">
      <alignment horizontal="right" vertical="top" shrinkToFit="1"/>
    </xf>
    <xf numFmtId="4" fontId="24" fillId="0" borderId="21">
      <alignment horizontal="right" vertical="top" shrinkToFit="1"/>
    </xf>
    <xf numFmtId="44" fontId="9" fillId="0" borderId="0" applyFont="0" applyFill="0" applyBorder="0" applyAlignment="0" applyProtection="0"/>
    <xf numFmtId="4" fontId="24" fillId="0" borderId="21">
      <alignment horizontal="right" vertical="top" shrinkToFit="1"/>
    </xf>
    <xf numFmtId="0" fontId="65" fillId="0" borderId="0"/>
    <xf numFmtId="0" fontId="30" fillId="0" borderId="0"/>
    <xf numFmtId="0" fontId="28" fillId="0" borderId="0"/>
    <xf numFmtId="9" fontId="28" fillId="0" borderId="0" applyFont="0" applyFill="0" applyBorder="0" applyAlignment="0" applyProtection="0"/>
    <xf numFmtId="0" fontId="57" fillId="0" borderId="0" applyNumberFormat="0" applyFill="0" applyBorder="0" applyAlignment="0" applyProtection="0"/>
    <xf numFmtId="0" fontId="9" fillId="0" borderId="0"/>
    <xf numFmtId="0" fontId="9" fillId="0" borderId="0"/>
    <xf numFmtId="0" fontId="77" fillId="0" borderId="0"/>
    <xf numFmtId="0" fontId="3" fillId="0" borderId="0"/>
    <xf numFmtId="0" fontId="81" fillId="0" borderId="0"/>
    <xf numFmtId="0" fontId="83" fillId="0" borderId="0"/>
    <xf numFmtId="0" fontId="84" fillId="0" borderId="0"/>
    <xf numFmtId="0" fontId="85" fillId="0" borderId="0"/>
    <xf numFmtId="0" fontId="85" fillId="0" borderId="0"/>
    <xf numFmtId="43" fontId="85" fillId="0" borderId="0" applyFont="0" applyFill="0" applyBorder="0"/>
    <xf numFmtId="0" fontId="85" fillId="0" borderId="0"/>
    <xf numFmtId="0" fontId="9" fillId="0" borderId="0"/>
    <xf numFmtId="0" fontId="9" fillId="0" borderId="0"/>
    <xf numFmtId="0" fontId="9" fillId="0" borderId="0"/>
  </cellStyleXfs>
  <cellXfs count="1117">
    <xf numFmtId="0" fontId="0" fillId="0" borderId="0" xfId="0"/>
    <xf numFmtId="49" fontId="33" fillId="0" borderId="0" xfId="53" applyNumberFormat="1" applyFont="1" applyFill="1" applyBorder="1" applyAlignment="1">
      <alignment horizontal="center"/>
    </xf>
    <xf numFmtId="0" fontId="33" fillId="0" borderId="0" xfId="53" applyFont="1" applyBorder="1"/>
    <xf numFmtId="0" fontId="43" fillId="0" borderId="0" xfId="53" applyFont="1" applyBorder="1" applyAlignment="1">
      <alignment horizontal="right"/>
    </xf>
    <xf numFmtId="0" fontId="9" fillId="0" borderId="0" xfId="51"/>
    <xf numFmtId="0" fontId="45" fillId="0" borderId="0" xfId="53" applyFont="1" applyFill="1" applyBorder="1" applyAlignment="1">
      <alignment horizontal="center" vertical="center"/>
    </xf>
    <xf numFmtId="0" fontId="47" fillId="0" borderId="1" xfId="1" applyFont="1" applyFill="1" applyBorder="1" applyAlignment="1" applyProtection="1">
      <alignment horizontal="center" vertical="center" wrapText="1"/>
      <protection hidden="1"/>
    </xf>
    <xf numFmtId="0" fontId="47" fillId="0" borderId="1" xfId="51" applyFont="1" applyBorder="1" applyAlignment="1" applyProtection="1">
      <alignment horizontal="center" vertical="center" wrapText="1"/>
      <protection locked="0"/>
    </xf>
    <xf numFmtId="168" fontId="47" fillId="0" borderId="1" xfId="1" applyNumberFormat="1" applyFont="1" applyFill="1" applyBorder="1" applyAlignment="1" applyProtection="1">
      <alignment horizontal="center" vertical="center" wrapText="1"/>
      <protection hidden="1"/>
    </xf>
    <xf numFmtId="0" fontId="48" fillId="0" borderId="1" xfId="53" applyFont="1" applyBorder="1" applyAlignment="1">
      <alignment horizontal="center" vertical="center" wrapText="1"/>
    </xf>
    <xf numFmtId="0" fontId="22" fillId="0" borderId="1" xfId="53" applyFont="1" applyBorder="1" applyAlignment="1">
      <alignment horizontal="center" vertical="center" wrapText="1"/>
    </xf>
    <xf numFmtId="49" fontId="22" fillId="0" borderId="1" xfId="53" applyNumberFormat="1" applyFont="1" applyFill="1" applyBorder="1" applyAlignment="1">
      <alignment horizontal="center" vertical="center" wrapText="1"/>
    </xf>
    <xf numFmtId="49" fontId="21" fillId="5" borderId="1" xfId="53" applyNumberFormat="1" applyFont="1" applyFill="1" applyBorder="1" applyAlignment="1">
      <alignment horizontal="center" vertical="center" wrapText="1"/>
    </xf>
    <xf numFmtId="0" fontId="21" fillId="5" borderId="1" xfId="1" applyFont="1" applyFill="1" applyBorder="1" applyAlignment="1" applyProtection="1">
      <alignment horizontal="left" vertical="center" wrapText="1"/>
      <protection hidden="1"/>
    </xf>
    <xf numFmtId="0" fontId="21" fillId="5" borderId="1" xfId="53" applyFont="1" applyFill="1" applyBorder="1" applyAlignment="1">
      <alignment horizontal="center" vertical="center" wrapText="1"/>
    </xf>
    <xf numFmtId="1" fontId="21" fillId="5" borderId="1" xfId="53" applyNumberFormat="1" applyFont="1" applyFill="1" applyBorder="1" applyAlignment="1">
      <alignment horizontal="center" vertical="center" wrapText="1"/>
    </xf>
    <xf numFmtId="0" fontId="9" fillId="0" borderId="0" xfId="51" applyFill="1"/>
    <xf numFmtId="49" fontId="21" fillId="0" borderId="1" xfId="1" applyNumberFormat="1" applyFont="1" applyFill="1" applyBorder="1" applyAlignment="1" applyProtection="1">
      <alignment horizontal="center" vertical="center" wrapText="1"/>
      <protection hidden="1"/>
    </xf>
    <xf numFmtId="166" fontId="49" fillId="4" borderId="1" xfId="56" applyNumberFormat="1" applyFont="1" applyFill="1" applyBorder="1" applyAlignment="1">
      <alignment horizontal="center" vertical="center" wrapText="1"/>
    </xf>
    <xf numFmtId="166" fontId="49" fillId="40" borderId="1" xfId="56" applyNumberFormat="1" applyFont="1" applyFill="1" applyBorder="1" applyAlignment="1">
      <alignment horizontal="center" vertical="center" wrapText="1"/>
    </xf>
    <xf numFmtId="10" fontId="9" fillId="0" borderId="0" xfId="51" applyNumberFormat="1"/>
    <xf numFmtId="166" fontId="22" fillId="0" borderId="1" xfId="56" applyNumberFormat="1" applyFont="1" applyFill="1" applyBorder="1" applyAlignment="1">
      <alignment horizontal="center" vertical="center" wrapText="1"/>
    </xf>
    <xf numFmtId="1" fontId="22" fillId="0" borderId="1" xfId="56" applyNumberFormat="1" applyFont="1" applyFill="1" applyBorder="1" applyAlignment="1">
      <alignment horizontal="center" vertical="center" wrapText="1"/>
    </xf>
    <xf numFmtId="10" fontId="21" fillId="0" borderId="1" xfId="56" applyNumberFormat="1" applyFont="1" applyFill="1" applyBorder="1" applyAlignment="1">
      <alignment horizontal="center" vertical="center" wrapText="1"/>
    </xf>
    <xf numFmtId="166" fontId="49" fillId="42" borderId="1" xfId="56" applyNumberFormat="1" applyFont="1" applyFill="1" applyBorder="1" applyAlignment="1">
      <alignment horizontal="center" vertical="center" wrapText="1"/>
    </xf>
    <xf numFmtId="10" fontId="49" fillId="4" borderId="1" xfId="56" applyNumberFormat="1" applyFont="1" applyFill="1" applyBorder="1" applyAlignment="1">
      <alignment horizontal="center" vertical="center" wrapText="1"/>
    </xf>
    <xf numFmtId="10" fontId="49" fillId="40" borderId="1" xfId="56" applyNumberFormat="1" applyFont="1" applyFill="1" applyBorder="1" applyAlignment="1">
      <alignment horizontal="center" vertical="center" wrapText="1"/>
    </xf>
    <xf numFmtId="0" fontId="33" fillId="0" borderId="0" xfId="53" applyFont="1" applyBorder="1" applyAlignment="1">
      <alignment horizontal="left"/>
    </xf>
    <xf numFmtId="0" fontId="50" fillId="0" borderId="0" xfId="51" applyFont="1" applyBorder="1" applyAlignment="1">
      <alignment horizontal="left" vertical="top"/>
    </xf>
    <xf numFmtId="0" fontId="9" fillId="0" borderId="0" xfId="51" applyAlignment="1">
      <alignment horizontal="center"/>
    </xf>
    <xf numFmtId="166" fontId="49" fillId="37" borderId="1" xfId="56" applyNumberFormat="1" applyFont="1" applyFill="1" applyBorder="1" applyAlignment="1">
      <alignment horizontal="center" vertical="center" wrapText="1"/>
    </xf>
    <xf numFmtId="0" fontId="21" fillId="3" borderId="0" xfId="4" applyFont="1" applyFill="1" applyAlignment="1" applyProtection="1">
      <alignment horizontal="center" vertical="top" wrapText="1"/>
      <protection hidden="1"/>
    </xf>
    <xf numFmtId="0" fontId="21" fillId="0" borderId="0" xfId="4" applyFont="1" applyBorder="1" applyAlignment="1" applyProtection="1">
      <alignment vertical="top" wrapText="1"/>
      <protection hidden="1"/>
    </xf>
    <xf numFmtId="0" fontId="51" fillId="3" borderId="0" xfId="4" applyFont="1" applyFill="1" applyBorder="1" applyAlignment="1" applyProtection="1">
      <alignment vertical="top" wrapText="1"/>
      <protection hidden="1"/>
    </xf>
    <xf numFmtId="0" fontId="21" fillId="3" borderId="0" xfId="4" applyFont="1" applyFill="1" applyBorder="1" applyAlignment="1" applyProtection="1">
      <alignment vertical="top" wrapText="1"/>
      <protection hidden="1"/>
    </xf>
    <xf numFmtId="0" fontId="21" fillId="3" borderId="0" xfId="4" applyFont="1" applyFill="1" applyBorder="1" applyAlignment="1" applyProtection="1">
      <alignment vertical="top"/>
      <protection hidden="1"/>
    </xf>
    <xf numFmtId="0" fontId="21" fillId="0" borderId="1" xfId="4" applyFont="1" applyFill="1" applyBorder="1" applyAlignment="1" applyProtection="1">
      <alignment horizontal="center" vertical="center" wrapText="1"/>
      <protection hidden="1"/>
    </xf>
    <xf numFmtId="0" fontId="22" fillId="0" borderId="1" xfId="4" applyFont="1" applyFill="1" applyBorder="1" applyAlignment="1" applyProtection="1">
      <alignment horizontal="center" vertical="center" wrapText="1"/>
      <protection hidden="1"/>
    </xf>
    <xf numFmtId="0" fontId="22" fillId="0" borderId="1" xfId="0" applyFont="1" applyBorder="1" applyAlignment="1">
      <alignment horizontal="left" vertical="top" wrapText="1"/>
    </xf>
    <xf numFmtId="0" fontId="22" fillId="0" borderId="1" xfId="0" applyFont="1" applyBorder="1" applyAlignment="1">
      <alignment horizontal="center" vertical="top" wrapText="1"/>
    </xf>
    <xf numFmtId="0" fontId="22" fillId="3" borderId="1" xfId="4" applyFont="1" applyFill="1" applyBorder="1" applyAlignment="1" applyProtection="1">
      <alignment horizontal="center" vertical="top" wrapText="1"/>
      <protection hidden="1"/>
    </xf>
    <xf numFmtId="166" fontId="22" fillId="3" borderId="1" xfId="4" applyNumberFormat="1" applyFont="1" applyFill="1" applyBorder="1" applyAlignment="1" applyProtection="1">
      <alignment horizontal="center" vertical="top" wrapText="1"/>
      <protection hidden="1"/>
    </xf>
    <xf numFmtId="0" fontId="22" fillId="0" borderId="1" xfId="0" applyFont="1" applyBorder="1" applyAlignment="1">
      <alignment vertical="top" wrapText="1"/>
    </xf>
    <xf numFmtId="49" fontId="21" fillId="0" borderId="0" xfId="1" applyNumberFormat="1" applyFont="1" applyAlignment="1" applyProtection="1">
      <alignment horizontal="center" vertical="top"/>
      <protection locked="0"/>
    </xf>
    <xf numFmtId="0" fontId="21" fillId="0" borderId="0" xfId="1" applyFont="1" applyAlignment="1" applyProtection="1">
      <alignment vertical="top"/>
      <protection locked="0"/>
    </xf>
    <xf numFmtId="0" fontId="51" fillId="0" borderId="0" xfId="4" applyFont="1" applyAlignment="1" applyProtection="1">
      <alignment vertical="top"/>
      <protection locked="0"/>
    </xf>
    <xf numFmtId="0" fontId="21" fillId="0" borderId="0" xfId="1" applyFont="1" applyAlignment="1" applyProtection="1">
      <alignment horizontal="center" vertical="top"/>
      <protection locked="0"/>
    </xf>
    <xf numFmtId="0" fontId="21" fillId="0" borderId="0" xfId="4" applyFont="1" applyAlignment="1" applyProtection="1">
      <alignment vertical="top"/>
      <protection locked="0"/>
    </xf>
    <xf numFmtId="0" fontId="21" fillId="3" borderId="0" xfId="1" applyFont="1" applyFill="1" applyAlignment="1" applyProtection="1">
      <alignment vertical="top"/>
      <protection locked="0"/>
    </xf>
    <xf numFmtId="0" fontId="51" fillId="3" borderId="0" xfId="4" applyFont="1" applyFill="1" applyAlignment="1" applyProtection="1">
      <alignment vertical="top"/>
      <protection locked="0"/>
    </xf>
    <xf numFmtId="0" fontId="22" fillId="0" borderId="0" xfId="4" applyFont="1" applyAlignment="1" applyProtection="1">
      <alignment vertical="top"/>
      <protection locked="0"/>
    </xf>
    <xf numFmtId="0" fontId="22" fillId="43" borderId="1" xfId="1" applyFont="1" applyFill="1" applyBorder="1" applyAlignment="1" applyProtection="1">
      <alignment vertical="top"/>
      <protection locked="0"/>
    </xf>
    <xf numFmtId="0" fontId="21" fillId="0" borderId="1" xfId="4" applyFont="1" applyBorder="1" applyAlignment="1" applyProtection="1">
      <alignment vertical="top"/>
      <protection locked="0"/>
    </xf>
    <xf numFmtId="0" fontId="51" fillId="0" borderId="1" xfId="4" applyFont="1" applyBorder="1" applyAlignment="1" applyProtection="1">
      <alignment vertical="top"/>
      <protection locked="0"/>
    </xf>
    <xf numFmtId="166" fontId="22" fillId="0" borderId="0" xfId="5" applyNumberFormat="1" applyFont="1" applyAlignment="1" applyProtection="1">
      <alignment vertical="top"/>
      <protection locked="0"/>
    </xf>
    <xf numFmtId="49" fontId="21" fillId="0" borderId="0" xfId="4" applyNumberFormat="1" applyFont="1" applyBorder="1" applyAlignment="1" applyProtection="1">
      <alignment horizontal="center" vertical="top" wrapText="1"/>
      <protection hidden="1"/>
    </xf>
    <xf numFmtId="0" fontId="22" fillId="0" borderId="0" xfId="1" applyFont="1" applyAlignment="1" applyProtection="1">
      <alignment vertical="top" wrapText="1"/>
      <protection locked="0"/>
    </xf>
    <xf numFmtId="0" fontId="22" fillId="0" borderId="1" xfId="4" applyFont="1" applyBorder="1" applyAlignment="1" applyProtection="1">
      <alignment vertical="top"/>
      <protection locked="0"/>
    </xf>
    <xf numFmtId="0" fontId="54" fillId="0" borderId="1" xfId="4" applyFont="1" applyBorder="1" applyAlignment="1" applyProtection="1">
      <alignment vertical="top"/>
      <protection locked="0"/>
    </xf>
    <xf numFmtId="0" fontId="54" fillId="0" borderId="0" xfId="4" applyFont="1" applyAlignment="1" applyProtection="1">
      <alignment vertical="top"/>
      <protection locked="0"/>
    </xf>
    <xf numFmtId="0" fontId="21" fillId="4" borderId="1" xfId="4" applyFont="1" applyFill="1" applyBorder="1" applyAlignment="1" applyProtection="1">
      <alignment horizontal="center" vertical="top" wrapText="1"/>
      <protection hidden="1"/>
    </xf>
    <xf numFmtId="0" fontId="21" fillId="3" borderId="1" xfId="4" applyFont="1" applyFill="1" applyBorder="1" applyAlignment="1" applyProtection="1">
      <alignment horizontal="center" vertical="top" wrapText="1"/>
      <protection hidden="1"/>
    </xf>
    <xf numFmtId="0" fontId="22" fillId="3" borderId="1" xfId="0" applyFont="1" applyFill="1" applyBorder="1" applyAlignment="1">
      <alignment horizontal="center" vertical="top" wrapText="1"/>
    </xf>
    <xf numFmtId="0" fontId="22" fillId="3" borderId="1" xfId="50" applyFont="1" applyFill="1" applyBorder="1" applyAlignment="1">
      <alignment horizontal="center" vertical="top" wrapText="1"/>
    </xf>
    <xf numFmtId="166" fontId="22" fillId="0" borderId="1" xfId="4" applyNumberFormat="1" applyFont="1" applyBorder="1" applyAlignment="1" applyProtection="1">
      <alignment horizontal="center" vertical="top"/>
      <protection locked="0"/>
    </xf>
    <xf numFmtId="49" fontId="21" fillId="5" borderId="1" xfId="4" applyNumberFormat="1" applyFont="1" applyFill="1" applyBorder="1" applyAlignment="1" applyProtection="1">
      <alignment horizontal="center" vertical="top" wrapText="1"/>
      <protection hidden="1"/>
    </xf>
    <xf numFmtId="166" fontId="21" fillId="5" borderId="1" xfId="4" applyNumberFormat="1" applyFont="1" applyFill="1" applyBorder="1" applyAlignment="1" applyProtection="1">
      <alignment horizontal="center" vertical="top" wrapText="1"/>
      <protection hidden="1"/>
    </xf>
    <xf numFmtId="0" fontId="21" fillId="5" borderId="1" xfId="4" applyFont="1" applyFill="1" applyBorder="1" applyAlignment="1">
      <alignment horizontal="left" vertical="top" wrapText="1"/>
    </xf>
    <xf numFmtId="0" fontId="21" fillId="5" borderId="1" xfId="4" applyFont="1" applyFill="1" applyBorder="1" applyAlignment="1" applyProtection="1">
      <alignment horizontal="center" vertical="top" wrapText="1"/>
      <protection hidden="1"/>
    </xf>
    <xf numFmtId="10" fontId="22" fillId="3" borderId="1" xfId="4" applyNumberFormat="1" applyFont="1" applyFill="1" applyBorder="1" applyAlignment="1" applyProtection="1">
      <alignment horizontal="center" vertical="top" wrapText="1"/>
      <protection hidden="1"/>
    </xf>
    <xf numFmtId="0" fontId="22" fillId="41" borderId="1" xfId="67" applyNumberFormat="1" applyFont="1" applyFill="1" applyBorder="1" applyAlignment="1">
      <alignment horizontal="center" vertical="top" wrapText="1"/>
    </xf>
    <xf numFmtId="0" fontId="22" fillId="3" borderId="4" xfId="0" applyFont="1" applyFill="1" applyBorder="1" applyAlignment="1">
      <alignment horizontal="center" vertical="top" wrapText="1"/>
    </xf>
    <xf numFmtId="0" fontId="54" fillId="3" borderId="0" xfId="4" applyFont="1" applyFill="1" applyAlignment="1" applyProtection="1">
      <alignment vertical="top"/>
      <protection locked="0"/>
    </xf>
    <xf numFmtId="166" fontId="21" fillId="5" borderId="1" xfId="0" applyNumberFormat="1" applyFont="1" applyFill="1" applyBorder="1" applyAlignment="1">
      <alignment horizontal="center" vertical="top" wrapText="1"/>
    </xf>
    <xf numFmtId="0" fontId="22" fillId="3" borderId="2" xfId="4" applyFont="1" applyFill="1" applyBorder="1" applyAlignment="1" applyProtection="1">
      <alignment horizontal="center" vertical="top" wrapText="1"/>
      <protection hidden="1"/>
    </xf>
    <xf numFmtId="0" fontId="42" fillId="3" borderId="1" xfId="0" applyFont="1" applyFill="1" applyBorder="1" applyAlignment="1">
      <alignment horizontal="center" vertical="top" wrapText="1"/>
    </xf>
    <xf numFmtId="0" fontId="62" fillId="3" borderId="1" xfId="0" applyFont="1" applyFill="1" applyBorder="1" applyAlignment="1">
      <alignment horizontal="center" vertical="top"/>
    </xf>
    <xf numFmtId="166" fontId="61" fillId="3" borderId="1" xfId="1" applyNumberFormat="1" applyFont="1" applyFill="1" applyBorder="1" applyAlignment="1">
      <alignment horizontal="center" vertical="top"/>
    </xf>
    <xf numFmtId="49" fontId="22" fillId="5" borderId="1" xfId="4" applyNumberFormat="1" applyFont="1" applyFill="1" applyBorder="1" applyAlignment="1" applyProtection="1">
      <alignment horizontal="center" vertical="top" wrapText="1"/>
      <protection hidden="1"/>
    </xf>
    <xf numFmtId="0" fontId="2" fillId="0" borderId="1" xfId="0" applyFont="1" applyBorder="1" applyAlignment="1">
      <alignment vertical="top" wrapText="1"/>
    </xf>
    <xf numFmtId="0" fontId="2" fillId="0" borderId="1" xfId="0" applyFont="1" applyBorder="1" applyAlignment="1">
      <alignment horizontal="center" vertical="top" wrapText="1"/>
    </xf>
    <xf numFmtId="166" fontId="22" fillId="0" borderId="0" xfId="4" applyNumberFormat="1" applyFont="1" applyFill="1" applyBorder="1" applyAlignment="1" applyProtection="1">
      <alignment horizontal="center" vertical="top" wrapText="1"/>
      <protection hidden="1"/>
    </xf>
    <xf numFmtId="0" fontId="2" fillId="0" borderId="0" xfId="4" applyFont="1" applyFill="1" applyBorder="1" applyAlignment="1">
      <alignment vertical="top"/>
    </xf>
    <xf numFmtId="49" fontId="54" fillId="0" borderId="0" xfId="4" applyNumberFormat="1" applyFont="1" applyAlignment="1" applyProtection="1">
      <alignment horizontal="center" vertical="top"/>
      <protection locked="0"/>
    </xf>
    <xf numFmtId="0" fontId="22" fillId="0" borderId="0" xfId="4" applyFont="1" applyBorder="1" applyAlignment="1" applyProtection="1">
      <alignment vertical="top"/>
      <protection locked="0"/>
    </xf>
    <xf numFmtId="0" fontId="21" fillId="5" borderId="0" xfId="4" applyFont="1" applyFill="1" applyAlignment="1" applyProtection="1">
      <alignment horizontal="center" vertical="top"/>
      <protection locked="0"/>
    </xf>
    <xf numFmtId="0" fontId="21" fillId="0" borderId="0" xfId="4" applyFont="1" applyAlignment="1" applyProtection="1">
      <alignment horizontal="center" vertical="top"/>
      <protection locked="0"/>
    </xf>
    <xf numFmtId="0" fontId="54" fillId="0" borderId="0" xfId="4" applyFont="1" applyAlignment="1" applyProtection="1">
      <alignment horizontal="center" vertical="top"/>
      <protection locked="0"/>
    </xf>
    <xf numFmtId="0" fontId="51" fillId="4" borderId="0" xfId="4" applyFont="1" applyFill="1" applyAlignment="1" applyProtection="1">
      <alignment vertical="top"/>
      <protection locked="0"/>
    </xf>
    <xf numFmtId="0" fontId="21" fillId="4" borderId="0" xfId="4" applyFont="1" applyFill="1" applyAlignment="1" applyProtection="1">
      <alignment vertical="top"/>
      <protection locked="0"/>
    </xf>
    <xf numFmtId="0" fontId="22" fillId="38" borderId="1" xfId="1" applyFont="1" applyFill="1" applyBorder="1" applyAlignment="1" applyProtection="1">
      <alignment vertical="top"/>
      <protection locked="0"/>
    </xf>
    <xf numFmtId="0" fontId="22" fillId="38" borderId="6" xfId="1" applyFont="1" applyFill="1" applyBorder="1" applyAlignment="1" applyProtection="1">
      <alignment vertical="top"/>
      <protection locked="0"/>
    </xf>
    <xf numFmtId="166" fontId="22" fillId="38" borderId="0" xfId="5" applyNumberFormat="1" applyFont="1" applyFill="1" applyAlignment="1" applyProtection="1">
      <alignment vertical="top"/>
      <protection locked="0"/>
    </xf>
    <xf numFmtId="0" fontId="22" fillId="38" borderId="0" xfId="4" applyFont="1" applyFill="1" applyAlignment="1" applyProtection="1">
      <alignment vertical="top"/>
      <protection locked="0"/>
    </xf>
    <xf numFmtId="0" fontId="21" fillId="38" borderId="1" xfId="1" applyFont="1" applyFill="1" applyBorder="1" applyAlignment="1" applyProtection="1">
      <alignment vertical="top"/>
      <protection locked="0"/>
    </xf>
    <xf numFmtId="0" fontId="21" fillId="38" borderId="6" xfId="1" applyFont="1" applyFill="1" applyBorder="1" applyAlignment="1" applyProtection="1">
      <alignment vertical="top"/>
      <protection locked="0"/>
    </xf>
    <xf numFmtId="0" fontId="21" fillId="44" borderId="0" xfId="4" applyFont="1" applyFill="1" applyAlignment="1" applyProtection="1">
      <alignment vertical="top"/>
      <protection locked="0"/>
    </xf>
    <xf numFmtId="0" fontId="22" fillId="44" borderId="0" xfId="4" applyFont="1" applyFill="1" applyAlignment="1" applyProtection="1">
      <alignment vertical="top"/>
      <protection locked="0"/>
    </xf>
    <xf numFmtId="0" fontId="22" fillId="44" borderId="1" xfId="1" applyFont="1" applyFill="1" applyBorder="1" applyAlignment="1" applyProtection="1">
      <alignment vertical="top"/>
      <protection locked="0"/>
    </xf>
    <xf numFmtId="166" fontId="22" fillId="44" borderId="0" xfId="5" applyNumberFormat="1" applyFont="1" applyFill="1" applyAlignment="1" applyProtection="1">
      <alignment vertical="top"/>
      <protection locked="0"/>
    </xf>
    <xf numFmtId="0" fontId="22" fillId="44" borderId="1" xfId="4" applyFont="1" applyFill="1" applyBorder="1" applyAlignment="1" applyProtection="1">
      <alignment horizontal="center" vertical="top"/>
      <protection locked="0"/>
    </xf>
    <xf numFmtId="0" fontId="22" fillId="44" borderId="0" xfId="1" applyFont="1" applyFill="1" applyAlignment="1" applyProtection="1">
      <alignment vertical="top" wrapText="1"/>
      <protection locked="0"/>
    </xf>
    <xf numFmtId="0" fontId="22" fillId="44" borderId="1" xfId="1" applyFont="1" applyFill="1" applyBorder="1" applyAlignment="1" applyProtection="1">
      <alignment horizontal="center" vertical="top" wrapText="1"/>
      <protection hidden="1"/>
    </xf>
    <xf numFmtId="0" fontId="22" fillId="44" borderId="1" xfId="4" applyFont="1" applyFill="1" applyBorder="1" applyAlignment="1" applyProtection="1">
      <alignment horizontal="left" vertical="top" wrapText="1"/>
      <protection locked="0"/>
    </xf>
    <xf numFmtId="0" fontId="21" fillId="44" borderId="1" xfId="1" applyFont="1" applyFill="1" applyBorder="1" applyAlignment="1" applyProtection="1">
      <alignment vertical="top"/>
      <protection locked="0"/>
    </xf>
    <xf numFmtId="0" fontId="36" fillId="3" borderId="2" xfId="1" applyFont="1" applyFill="1" applyBorder="1" applyAlignment="1" applyProtection="1">
      <alignment horizontal="center" vertical="center" wrapText="1"/>
      <protection hidden="1"/>
    </xf>
    <xf numFmtId="0" fontId="23" fillId="3" borderId="1" xfId="1" applyFont="1" applyFill="1" applyBorder="1" applyAlignment="1" applyProtection="1">
      <alignment horizontal="center" vertical="center" wrapText="1"/>
      <protection hidden="1"/>
    </xf>
    <xf numFmtId="166" fontId="22" fillId="3" borderId="1" xfId="56" applyNumberFormat="1" applyFont="1" applyFill="1" applyBorder="1" applyAlignment="1">
      <alignment horizontal="center" vertical="center" wrapText="1"/>
    </xf>
    <xf numFmtId="1" fontId="22" fillId="3" borderId="1" xfId="56" applyNumberFormat="1" applyFont="1" applyFill="1" applyBorder="1" applyAlignment="1">
      <alignment horizontal="center" vertical="center" wrapText="1"/>
    </xf>
    <xf numFmtId="0" fontId="36" fillId="3" borderId="1" xfId="1" applyFont="1" applyFill="1" applyBorder="1" applyAlignment="1" applyProtection="1">
      <alignment horizontal="center" vertical="center" wrapText="1"/>
      <protection hidden="1"/>
    </xf>
    <xf numFmtId="1" fontId="36" fillId="3" borderId="1" xfId="56" applyNumberFormat="1" applyFont="1" applyFill="1" applyBorder="1" applyAlignment="1">
      <alignment horizontal="center" vertical="center" wrapText="1"/>
    </xf>
    <xf numFmtId="0" fontId="45" fillId="36" borderId="0" xfId="49" applyFont="1" applyAlignment="1">
      <alignment horizontal="right" vertical="center"/>
    </xf>
    <xf numFmtId="10" fontId="21" fillId="3" borderId="1" xfId="56" applyNumberFormat="1" applyFont="1" applyFill="1" applyBorder="1" applyAlignment="1">
      <alignment horizontal="center" vertical="center" wrapText="1"/>
    </xf>
    <xf numFmtId="2" fontId="22" fillId="3" borderId="1" xfId="53" applyNumberFormat="1" applyFont="1" applyFill="1" applyBorder="1" applyAlignment="1">
      <alignment horizontal="center" vertical="center" wrapText="1"/>
    </xf>
    <xf numFmtId="2" fontId="49" fillId="37" borderId="1" xfId="53" applyNumberFormat="1" applyFont="1" applyFill="1" applyBorder="1" applyAlignment="1">
      <alignment horizontal="center" vertical="center" wrapText="1"/>
    </xf>
    <xf numFmtId="10" fontId="49" fillId="37" borderId="1" xfId="56" applyNumberFormat="1" applyFont="1" applyFill="1" applyBorder="1" applyAlignment="1">
      <alignment horizontal="center" vertical="center" wrapText="1"/>
    </xf>
    <xf numFmtId="10" fontId="9" fillId="0" borderId="0" xfId="51" applyNumberFormat="1" applyFill="1"/>
    <xf numFmtId="10" fontId="9" fillId="40" borderId="0" xfId="51" applyNumberFormat="1" applyFill="1"/>
    <xf numFmtId="0" fontId="48" fillId="3" borderId="1" xfId="53" applyFont="1" applyFill="1" applyBorder="1" applyAlignment="1">
      <alignment horizontal="center" vertical="center" wrapText="1"/>
    </xf>
    <xf numFmtId="0" fontId="21" fillId="3" borderId="1" xfId="53" applyFont="1" applyFill="1" applyBorder="1" applyAlignment="1">
      <alignment horizontal="center" vertical="center" wrapText="1"/>
    </xf>
    <xf numFmtId="1" fontId="9" fillId="0" borderId="0" xfId="51" applyNumberFormat="1"/>
    <xf numFmtId="0" fontId="22" fillId="3" borderId="1" xfId="0" applyFont="1" applyFill="1" applyBorder="1" applyAlignment="1">
      <alignment vertical="top" wrapText="1"/>
    </xf>
    <xf numFmtId="0" fontId="21" fillId="3" borderId="5" xfId="4" applyFont="1" applyFill="1" applyBorder="1" applyAlignment="1" applyProtection="1">
      <alignment horizontal="center" vertical="top" wrapText="1"/>
      <protection hidden="1"/>
    </xf>
    <xf numFmtId="2" fontId="23" fillId="0" borderId="1" xfId="53" applyNumberFormat="1" applyFont="1" applyFill="1" applyBorder="1" applyAlignment="1">
      <alignment horizontal="center" vertical="center" wrapText="1"/>
    </xf>
    <xf numFmtId="0" fontId="22" fillId="3" borderId="1" xfId="0" applyFont="1" applyFill="1" applyBorder="1" applyAlignment="1">
      <alignment horizontal="center" vertical="center"/>
    </xf>
    <xf numFmtId="10" fontId="22" fillId="3" borderId="1" xfId="0" applyNumberFormat="1" applyFont="1" applyFill="1" applyBorder="1" applyAlignment="1">
      <alignment horizontal="center" vertical="center" wrapText="1"/>
    </xf>
    <xf numFmtId="10" fontId="22" fillId="3" borderId="2" xfId="0" applyNumberFormat="1" applyFont="1" applyFill="1" applyBorder="1" applyAlignment="1">
      <alignment horizontal="center" vertical="center" wrapText="1"/>
    </xf>
    <xf numFmtId="0" fontId="22" fillId="3" borderId="1"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2" fillId="3" borderId="1" xfId="0" applyFont="1" applyFill="1" applyBorder="1" applyAlignment="1">
      <alignment vertical="center" wrapText="1"/>
    </xf>
    <xf numFmtId="0" fontId="42" fillId="3" borderId="1" xfId="0" applyFont="1" applyFill="1" applyBorder="1" applyAlignment="1">
      <alignment horizontal="center" vertical="center" wrapText="1"/>
    </xf>
    <xf numFmtId="166" fontId="22" fillId="3" borderId="1" xfId="0" applyNumberFormat="1" applyFont="1" applyFill="1" applyBorder="1" applyAlignment="1">
      <alignment horizontal="center" vertical="center" wrapText="1"/>
    </xf>
    <xf numFmtId="49" fontId="22" fillId="0" borderId="1" xfId="53" applyNumberFormat="1" applyFont="1" applyFill="1" applyBorder="1" applyAlignment="1">
      <alignment horizontal="center" vertical="center" wrapText="1"/>
    </xf>
    <xf numFmtId="10" fontId="49" fillId="13" borderId="1" xfId="56" applyNumberFormat="1" applyFont="1" applyFill="1" applyBorder="1" applyAlignment="1">
      <alignment horizontal="center" vertical="center" wrapText="1"/>
    </xf>
    <xf numFmtId="0" fontId="22" fillId="3" borderId="6" xfId="0" applyFont="1" applyFill="1" applyBorder="1" applyAlignment="1">
      <alignment horizontal="center" vertical="center" wrapText="1"/>
    </xf>
    <xf numFmtId="4" fontId="22" fillId="3" borderId="1" xfId="0" applyNumberFormat="1" applyFont="1" applyFill="1" applyBorder="1" applyAlignment="1">
      <alignment horizontal="center" vertical="center" wrapText="1"/>
    </xf>
    <xf numFmtId="49" fontId="22" fillId="0" borderId="1" xfId="53" applyNumberFormat="1" applyFont="1" applyFill="1" applyBorder="1" applyAlignment="1">
      <alignment horizontal="center" vertical="center" wrapText="1"/>
    </xf>
    <xf numFmtId="0" fontId="22" fillId="3" borderId="1" xfId="50" applyFont="1" applyFill="1" applyBorder="1" applyAlignment="1">
      <alignment horizontal="center" vertical="center" wrapText="1"/>
    </xf>
    <xf numFmtId="166" fontId="22" fillId="0" borderId="0" xfId="4" applyNumberFormat="1" applyFont="1" applyAlignment="1" applyProtection="1">
      <alignment vertical="top"/>
      <protection locked="0"/>
    </xf>
    <xf numFmtId="0" fontId="22" fillId="3" borderId="1" xfId="50" applyFont="1" applyFill="1" applyBorder="1" applyAlignment="1">
      <alignment horizontal="left" vertical="center" wrapText="1"/>
    </xf>
    <xf numFmtId="0" fontId="2" fillId="0" borderId="1" xfId="0" applyFont="1" applyBorder="1" applyAlignment="1">
      <alignment horizontal="center" vertical="center"/>
    </xf>
    <xf numFmtId="0" fontId="22" fillId="0" borderId="1" xfId="0" applyFont="1" applyBorder="1" applyAlignment="1">
      <alignment horizontal="left" vertical="center" wrapText="1"/>
    </xf>
    <xf numFmtId="0" fontId="2" fillId="0" borderId="1" xfId="0" applyFont="1" applyBorder="1" applyAlignment="1">
      <alignment horizontal="left" vertical="center" wrapText="1"/>
    </xf>
    <xf numFmtId="0" fontId="22" fillId="0" borderId="1" xfId="0" applyFont="1" applyBorder="1" applyAlignment="1">
      <alignment horizontal="center" vertical="center"/>
    </xf>
    <xf numFmtId="0" fontId="38" fillId="3" borderId="1" xfId="0" applyFont="1" applyFill="1" applyBorder="1" applyAlignment="1">
      <alignment horizontal="center" vertical="top" wrapText="1"/>
    </xf>
    <xf numFmtId="0" fontId="21" fillId="3" borderId="2" xfId="4" applyFont="1" applyFill="1" applyBorder="1" applyAlignment="1" applyProtection="1">
      <alignment horizontal="center" vertical="top" wrapText="1"/>
      <protection hidden="1"/>
    </xf>
    <xf numFmtId="0" fontId="54" fillId="3" borderId="1" xfId="4" applyFont="1" applyFill="1" applyBorder="1" applyAlignment="1" applyProtection="1">
      <alignment horizontal="center" vertical="top"/>
      <protection locked="0"/>
    </xf>
    <xf numFmtId="0" fontId="22" fillId="3" borderId="5" xfId="0" applyFont="1" applyFill="1" applyBorder="1" applyAlignment="1">
      <alignment vertical="top"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35" fillId="0" borderId="1" xfId="0" applyFont="1" applyBorder="1" applyAlignment="1">
      <alignment horizontal="center" vertical="center" wrapText="1"/>
    </xf>
    <xf numFmtId="0" fontId="22" fillId="3" borderId="4" xfId="0" applyFont="1" applyFill="1" applyBorder="1" applyAlignment="1">
      <alignment horizontal="left" vertical="top" wrapText="1"/>
    </xf>
    <xf numFmtId="0" fontId="22" fillId="3" borderId="23" xfId="0" applyFont="1" applyFill="1" applyBorder="1" applyAlignment="1">
      <alignment horizontal="center" vertical="center" wrapText="1"/>
    </xf>
    <xf numFmtId="0" fontId="22" fillId="0" borderId="1" xfId="0" applyFont="1" applyBorder="1" applyAlignment="1">
      <alignment horizontal="center" vertical="center" wrapText="1"/>
    </xf>
    <xf numFmtId="0" fontId="22" fillId="0" borderId="1" xfId="0" applyFont="1" applyBorder="1" applyAlignment="1">
      <alignment vertical="center" wrapText="1"/>
    </xf>
    <xf numFmtId="0" fontId="2" fillId="5" borderId="1" xfId="0" applyFont="1" applyFill="1" applyBorder="1" applyAlignment="1">
      <alignment horizontal="center" vertical="center" wrapText="1"/>
    </xf>
    <xf numFmtId="0" fontId="2" fillId="3" borderId="1" xfId="0" applyFont="1" applyFill="1" applyBorder="1" applyAlignment="1">
      <alignment vertical="center" wrapText="1"/>
    </xf>
    <xf numFmtId="0" fontId="62" fillId="3" borderId="1" xfId="0" applyFont="1" applyFill="1" applyBorder="1" applyAlignment="1">
      <alignment horizontal="center" vertical="center"/>
    </xf>
    <xf numFmtId="49" fontId="21" fillId="5" borderId="5" xfId="4" applyNumberFormat="1" applyFont="1" applyFill="1" applyBorder="1" applyAlignment="1" applyProtection="1">
      <alignment horizontal="center" vertical="top" wrapText="1"/>
      <protection hidden="1"/>
    </xf>
    <xf numFmtId="166" fontId="21" fillId="5" borderId="5" xfId="4" applyNumberFormat="1" applyFont="1" applyFill="1" applyBorder="1" applyAlignment="1" applyProtection="1">
      <alignment horizontal="center" vertical="top" wrapText="1"/>
      <protection hidden="1"/>
    </xf>
    <xf numFmtId="0" fontId="21" fillId="5" borderId="5" xfId="4" applyFont="1" applyFill="1" applyBorder="1" applyAlignment="1">
      <alignment horizontal="left" vertical="top" wrapText="1"/>
    </xf>
    <xf numFmtId="0" fontId="21" fillId="5" borderId="5" xfId="4" applyFont="1" applyFill="1" applyBorder="1" applyAlignment="1" applyProtection="1">
      <alignment horizontal="center" vertical="top" wrapText="1"/>
      <protection hidden="1"/>
    </xf>
    <xf numFmtId="0" fontId="54" fillId="0" borderId="1" xfId="4" applyFont="1" applyBorder="1" applyAlignment="1" applyProtection="1">
      <alignment horizontal="center" vertical="top"/>
      <protection locked="0"/>
    </xf>
    <xf numFmtId="0" fontId="21" fillId="44" borderId="1" xfId="4" applyFont="1" applyFill="1" applyBorder="1" applyAlignment="1" applyProtection="1">
      <alignment horizontal="center" vertical="top"/>
      <protection locked="0"/>
    </xf>
    <xf numFmtId="0" fontId="52" fillId="44" borderId="1" xfId="1" applyFont="1" applyFill="1" applyBorder="1" applyAlignment="1" applyProtection="1">
      <alignment horizontal="center" vertical="top" wrapText="1"/>
      <protection hidden="1"/>
    </xf>
    <xf numFmtId="166" fontId="22" fillId="44" borderId="1" xfId="1" applyNumberFormat="1" applyFont="1" applyFill="1" applyBorder="1" applyAlignment="1" applyProtection="1">
      <alignment vertical="top"/>
      <protection locked="0"/>
    </xf>
    <xf numFmtId="0" fontId="0" fillId="0" borderId="0" xfId="0" applyAlignment="1">
      <alignment horizontal="center" vertical="center"/>
    </xf>
    <xf numFmtId="0" fontId="0" fillId="0" borderId="0" xfId="0" applyAlignment="1">
      <alignment vertical="top"/>
    </xf>
    <xf numFmtId="0" fontId="0" fillId="0" borderId="0" xfId="0" applyAlignment="1">
      <alignment horizontal="center" vertical="top"/>
    </xf>
    <xf numFmtId="164" fontId="0" fillId="0" borderId="0" xfId="0" applyNumberFormat="1" applyAlignment="1">
      <alignment horizontal="center" vertical="top"/>
    </xf>
    <xf numFmtId="165" fontId="0" fillId="0" borderId="0" xfId="0" applyNumberFormat="1" applyAlignment="1">
      <alignment horizontal="center" vertical="top"/>
    </xf>
    <xf numFmtId="0" fontId="0" fillId="0" borderId="0" xfId="0" applyAlignment="1">
      <alignment horizontal="left" vertical="top"/>
    </xf>
    <xf numFmtId="0" fontId="6" fillId="0" borderId="0" xfId="0" applyFont="1" applyAlignment="1">
      <alignment horizontal="center" vertical="center"/>
    </xf>
    <xf numFmtId="164" fontId="6" fillId="0" borderId="0" xfId="0" applyNumberFormat="1" applyFont="1" applyAlignment="1">
      <alignment horizontal="center" vertical="top"/>
    </xf>
    <xf numFmtId="164" fontId="8" fillId="0" borderId="1" xfId="0" applyNumberFormat="1" applyFont="1" applyBorder="1" applyAlignment="1">
      <alignment horizontal="center" vertical="center" wrapText="1"/>
    </xf>
    <xf numFmtId="0" fontId="40" fillId="46" borderId="1" xfId="51" applyFont="1" applyFill="1" applyBorder="1" applyAlignment="1">
      <alignment horizontal="center" vertical="center" wrapText="1"/>
    </xf>
    <xf numFmtId="164" fontId="40" fillId="46" borderId="1" xfId="51" applyNumberFormat="1" applyFont="1" applyFill="1" applyBorder="1" applyAlignment="1">
      <alignment horizontal="right" vertical="center" wrapText="1"/>
    </xf>
    <xf numFmtId="166" fontId="40" fillId="46" borderId="1" xfId="56" applyNumberFormat="1" applyFont="1" applyFill="1" applyBorder="1" applyAlignment="1">
      <alignment horizontal="center" vertical="center" wrapText="1"/>
    </xf>
    <xf numFmtId="0" fontId="39" fillId="46" borderId="1" xfId="51" applyFont="1" applyFill="1" applyBorder="1" applyAlignment="1">
      <alignment horizontal="center" vertical="center" wrapText="1"/>
    </xf>
    <xf numFmtId="164" fontId="39" fillId="46" borderId="1" xfId="51" applyNumberFormat="1" applyFont="1" applyFill="1" applyBorder="1" applyAlignment="1">
      <alignment horizontal="right" vertical="center" wrapText="1"/>
    </xf>
    <xf numFmtId="166" fontId="39" fillId="46" borderId="1" xfId="56" applyNumberFormat="1" applyFont="1" applyFill="1" applyBorder="1" applyAlignment="1">
      <alignment horizontal="center" vertical="center" wrapText="1"/>
    </xf>
    <xf numFmtId="0" fontId="0" fillId="0" borderId="0" xfId="0" applyAlignment="1">
      <alignment horizontal="left" vertical="center"/>
    </xf>
    <xf numFmtId="166" fontId="39" fillId="0" borderId="0" xfId="51" applyNumberFormat="1" applyFont="1" applyAlignment="1">
      <alignment vertical="center"/>
    </xf>
    <xf numFmtId="0" fontId="21" fillId="46" borderId="1" xfId="1" applyFont="1" applyFill="1" applyBorder="1" applyAlignment="1" applyProtection="1">
      <alignment horizontal="left" vertical="center" wrapText="1"/>
      <protection hidden="1"/>
    </xf>
    <xf numFmtId="0" fontId="56" fillId="3" borderId="1" xfId="1" applyFont="1" applyFill="1" applyBorder="1" applyAlignment="1" applyProtection="1">
      <alignment horizontal="center" vertical="center" wrapText="1"/>
      <protection hidden="1"/>
    </xf>
    <xf numFmtId="0" fontId="22" fillId="3" borderId="26" xfId="0" applyFont="1" applyFill="1" applyBorder="1" applyAlignment="1">
      <alignment horizontal="center" vertical="center" wrapText="1"/>
    </xf>
    <xf numFmtId="167" fontId="22" fillId="3" borderId="1" xfId="0" applyNumberFormat="1" applyFont="1" applyFill="1" applyBorder="1" applyAlignment="1">
      <alignment horizontal="center" vertical="center" wrapText="1"/>
    </xf>
    <xf numFmtId="0" fontId="22" fillId="3" borderId="5" xfId="0" applyFont="1" applyFill="1" applyBorder="1" applyAlignment="1">
      <alignment vertical="center" wrapText="1"/>
    </xf>
    <xf numFmtId="0" fontId="51" fillId="3" borderId="1" xfId="4" applyFont="1" applyFill="1" applyBorder="1" applyAlignment="1" applyProtection="1">
      <alignment vertical="top"/>
      <protection locked="0"/>
    </xf>
    <xf numFmtId="164" fontId="39" fillId="0" borderId="1" xfId="51" applyNumberFormat="1" applyFont="1" applyFill="1" applyBorder="1" applyAlignment="1">
      <alignment horizontal="right" vertical="center" wrapText="1"/>
    </xf>
    <xf numFmtId="166" fontId="39" fillId="0" borderId="1" xfId="51" applyNumberFormat="1" applyFont="1" applyFill="1" applyBorder="1" applyAlignment="1">
      <alignment horizontal="center" vertical="center" wrapText="1"/>
    </xf>
    <xf numFmtId="0" fontId="23" fillId="0" borderId="1" xfId="1" applyFont="1" applyFill="1" applyBorder="1" applyAlignment="1" applyProtection="1">
      <alignment horizontal="center" vertical="center" wrapText="1"/>
      <protection hidden="1"/>
    </xf>
    <xf numFmtId="166" fontId="22" fillId="0" borderId="1" xfId="64"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164" fontId="7" fillId="0" borderId="1" xfId="0" applyNumberFormat="1" applyFont="1" applyFill="1" applyBorder="1" applyAlignment="1">
      <alignment horizontal="right" vertical="center" wrapText="1"/>
    </xf>
    <xf numFmtId="166" fontId="39" fillId="0" borderId="1" xfId="56" applyNumberFormat="1" applyFont="1" applyFill="1" applyBorder="1" applyAlignment="1">
      <alignment horizontal="center" vertical="center" wrapText="1"/>
    </xf>
    <xf numFmtId="164" fontId="7" fillId="0" borderId="2" xfId="0" applyNumberFormat="1" applyFont="1" applyFill="1" applyBorder="1" applyAlignment="1">
      <alignment horizontal="right" vertical="center" wrapText="1"/>
    </xf>
    <xf numFmtId="0" fontId="7" fillId="0" borderId="1" xfId="0" applyFont="1" applyFill="1" applyBorder="1" applyAlignment="1">
      <alignment horizontal="left" vertical="center" wrapText="1"/>
    </xf>
    <xf numFmtId="49" fontId="37" fillId="0" borderId="1" xfId="0" applyNumberFormat="1" applyFont="1" applyFill="1" applyBorder="1" applyAlignment="1">
      <alignment horizontal="center" vertical="top" wrapText="1"/>
    </xf>
    <xf numFmtId="0" fontId="22" fillId="0" borderId="1" xfId="53" applyFont="1" applyFill="1" applyBorder="1" applyAlignment="1">
      <alignment horizontal="left" vertical="top" wrapText="1"/>
    </xf>
    <xf numFmtId="0" fontId="22" fillId="0" borderId="1" xfId="53" applyFont="1" applyFill="1" applyBorder="1" applyAlignment="1">
      <alignment horizontal="left" vertical="center" wrapText="1"/>
    </xf>
    <xf numFmtId="166" fontId="21" fillId="0" borderId="1" xfId="56" applyNumberFormat="1" applyFont="1" applyFill="1" applyBorder="1" applyAlignment="1">
      <alignment horizontal="center" vertical="center" wrapText="1"/>
    </xf>
    <xf numFmtId="166" fontId="21" fillId="3" borderId="1" xfId="56" applyNumberFormat="1" applyFont="1" applyFill="1" applyBorder="1" applyAlignment="1">
      <alignment horizontal="center" vertical="center" wrapText="1"/>
    </xf>
    <xf numFmtId="0" fontId="2" fillId="0" borderId="1" xfId="0" applyFont="1" applyBorder="1" applyAlignment="1">
      <alignment horizontal="left" vertical="top" wrapText="1"/>
    </xf>
    <xf numFmtId="0" fontId="69" fillId="0" borderId="1" xfId="0" applyFont="1" applyFill="1" applyBorder="1" applyAlignment="1">
      <alignment horizontal="center" vertical="center" wrapText="1"/>
    </xf>
    <xf numFmtId="0" fontId="23" fillId="0" borderId="1" xfId="1" applyNumberFormat="1" applyFont="1" applyFill="1" applyBorder="1" applyAlignment="1" applyProtection="1">
      <alignment horizontal="center" vertical="center" wrapText="1"/>
      <protection hidden="1"/>
    </xf>
    <xf numFmtId="0" fontId="22" fillId="0" borderId="1" xfId="56" applyNumberFormat="1" applyFont="1" applyFill="1" applyBorder="1" applyAlignment="1">
      <alignment horizontal="center" vertical="center" wrapText="1"/>
    </xf>
    <xf numFmtId="164" fontId="39" fillId="0" borderId="1" xfId="51" applyNumberFormat="1" applyFont="1" applyFill="1" applyBorder="1" applyAlignment="1">
      <alignment vertical="center" wrapText="1"/>
    </xf>
    <xf numFmtId="0" fontId="0" fillId="0" borderId="0" xfId="0" applyFill="1"/>
    <xf numFmtId="0" fontId="39" fillId="0" borderId="1" xfId="51" applyFont="1" applyFill="1" applyBorder="1" applyAlignment="1">
      <alignment vertical="center" wrapText="1"/>
    </xf>
    <xf numFmtId="164" fontId="8" fillId="0" borderId="1" xfId="0" applyNumberFormat="1" applyFont="1" applyFill="1" applyBorder="1" applyAlignment="1">
      <alignment horizontal="right" vertical="center" wrapText="1"/>
    </xf>
    <xf numFmtId="164" fontId="7" fillId="0" borderId="1" xfId="0" applyNumberFormat="1" applyFont="1" applyFill="1" applyBorder="1" applyAlignment="1">
      <alignment vertical="center" wrapText="1"/>
    </xf>
    <xf numFmtId="0" fontId="7" fillId="0" borderId="1" xfId="0" applyFont="1" applyFill="1" applyBorder="1" applyAlignment="1">
      <alignment horizontal="center" vertical="center" wrapText="1"/>
    </xf>
    <xf numFmtId="164" fontId="7" fillId="0" borderId="1" xfId="60" applyFont="1" applyFill="1" applyBorder="1" applyAlignment="1">
      <alignment vertical="center" wrapText="1"/>
    </xf>
    <xf numFmtId="4" fontId="7" fillId="0" borderId="1" xfId="0" applyNumberFormat="1" applyFont="1" applyFill="1" applyBorder="1" applyAlignment="1">
      <alignment vertical="center"/>
    </xf>
    <xf numFmtId="0" fontId="22" fillId="3" borderId="2" xfId="0" applyFont="1" applyFill="1" applyBorder="1" applyAlignment="1">
      <alignment horizontal="center" vertical="top" wrapText="1"/>
    </xf>
    <xf numFmtId="0" fontId="22" fillId="3" borderId="5" xfId="0" applyFont="1" applyFill="1" applyBorder="1" applyAlignment="1">
      <alignment horizontal="center" vertical="top" wrapText="1"/>
    </xf>
    <xf numFmtId="0" fontId="2" fillId="3" borderId="1" xfId="0" applyFont="1" applyFill="1" applyBorder="1" applyAlignment="1">
      <alignment horizontal="center" vertical="center" wrapText="1"/>
    </xf>
    <xf numFmtId="0" fontId="22" fillId="3" borderId="1" xfId="0" applyFont="1" applyFill="1" applyBorder="1" applyAlignment="1">
      <alignment horizontal="left" vertical="top" wrapText="1"/>
    </xf>
    <xf numFmtId="0" fontId="34" fillId="3" borderId="2" xfId="0" applyFont="1" applyFill="1" applyBorder="1" applyAlignment="1">
      <alignment horizontal="center" vertical="center" wrapText="1"/>
    </xf>
    <xf numFmtId="0" fontId="22" fillId="3" borderId="2" xfId="0" applyFont="1" applyFill="1" applyBorder="1" applyAlignment="1">
      <alignment horizontal="center" vertical="center" wrapText="1"/>
    </xf>
    <xf numFmtId="0" fontId="22" fillId="3" borderId="5" xfId="0" applyFont="1" applyFill="1" applyBorder="1" applyAlignment="1">
      <alignment horizontal="center" vertical="center" wrapText="1"/>
    </xf>
    <xf numFmtId="0" fontId="22" fillId="3" borderId="2" xfId="0" applyFont="1" applyFill="1" applyBorder="1" applyAlignment="1">
      <alignment horizontal="left" vertical="top" wrapText="1"/>
    </xf>
    <xf numFmtId="0" fontId="22" fillId="3" borderId="5" xfId="0" applyFont="1" applyFill="1" applyBorder="1" applyAlignment="1">
      <alignment horizontal="left" vertical="top" wrapText="1"/>
    </xf>
    <xf numFmtId="0" fontId="22" fillId="3" borderId="5" xfId="0" applyFont="1" applyFill="1" applyBorder="1" applyAlignment="1">
      <alignment horizontal="left" vertical="center" wrapText="1"/>
    </xf>
    <xf numFmtId="0" fontId="22" fillId="3" borderId="1" xfId="0" applyFont="1" applyFill="1" applyBorder="1" applyAlignment="1">
      <alignment horizontal="left" vertical="center" wrapText="1"/>
    </xf>
    <xf numFmtId="0" fontId="55" fillId="3" borderId="1" xfId="1" applyFont="1" applyFill="1" applyBorder="1" applyAlignment="1" applyProtection="1">
      <alignment horizontal="center" vertical="center" wrapText="1"/>
      <protection hidden="1"/>
    </xf>
    <xf numFmtId="4" fontId="22" fillId="0" borderId="1" xfId="0" applyNumberFormat="1" applyFont="1" applyBorder="1" applyAlignment="1">
      <alignment horizontal="center" vertical="center" wrapText="1"/>
    </xf>
    <xf numFmtId="166" fontId="22" fillId="3" borderId="1" xfId="50" applyNumberFormat="1" applyFont="1" applyFill="1" applyBorder="1" applyAlignment="1">
      <alignment horizontal="center" vertical="center"/>
    </xf>
    <xf numFmtId="0" fontId="22" fillId="0" borderId="1" xfId="50" applyFont="1" applyBorder="1" applyAlignment="1">
      <alignment horizontal="center" vertical="center" wrapText="1"/>
    </xf>
    <xf numFmtId="4" fontId="22" fillId="0" borderId="4" xfId="50" applyNumberFormat="1" applyFont="1" applyBorder="1" applyAlignment="1">
      <alignment horizontal="center" vertical="center" wrapText="1"/>
    </xf>
    <xf numFmtId="4" fontId="22" fillId="3" borderId="7" xfId="50" applyNumberFormat="1" applyFont="1" applyFill="1" applyBorder="1" applyAlignment="1">
      <alignment horizontal="center" vertical="center" wrapText="1"/>
    </xf>
    <xf numFmtId="4" fontId="22" fillId="0" borderId="1" xfId="50" applyNumberFormat="1" applyFont="1" applyBorder="1" applyAlignment="1">
      <alignment horizontal="center" vertical="center" wrapText="1"/>
    </xf>
    <xf numFmtId="166" fontId="22" fillId="0" borderId="1" xfId="58" applyNumberFormat="1" applyFont="1" applyFill="1" applyBorder="1" applyAlignment="1">
      <alignment horizontal="center" vertical="center"/>
    </xf>
    <xf numFmtId="4" fontId="22" fillId="3" borderId="1" xfId="50" applyNumberFormat="1" applyFont="1" applyFill="1" applyBorder="1" applyAlignment="1">
      <alignment horizontal="center" vertical="center" wrapText="1"/>
    </xf>
    <xf numFmtId="166" fontId="22" fillId="3" borderId="1" xfId="58" applyNumberFormat="1" applyFont="1" applyFill="1" applyBorder="1" applyAlignment="1">
      <alignment horizontal="center" vertical="center"/>
    </xf>
    <xf numFmtId="49" fontId="22" fillId="46" borderId="1" xfId="4" applyNumberFormat="1" applyFont="1" applyFill="1" applyBorder="1" applyAlignment="1" applyProtection="1">
      <alignment horizontal="center" vertical="top" wrapText="1"/>
      <protection hidden="1"/>
    </xf>
    <xf numFmtId="0" fontId="22" fillId="0" borderId="2" xfId="0" applyFont="1" applyBorder="1" applyAlignment="1">
      <alignment horizontal="left" vertical="center" wrapText="1"/>
    </xf>
    <xf numFmtId="0" fontId="21" fillId="3" borderId="1" xfId="50" applyFont="1" applyFill="1" applyBorder="1" applyAlignment="1">
      <alignment horizontal="center" vertical="center" wrapText="1"/>
    </xf>
    <xf numFmtId="4" fontId="22" fillId="3" borderId="4" xfId="50" applyNumberFormat="1" applyFont="1" applyFill="1" applyBorder="1" applyAlignment="1">
      <alignment horizontal="center" vertical="center" wrapText="1"/>
    </xf>
    <xf numFmtId="49" fontId="22" fillId="46" borderId="1" xfId="4" applyNumberFormat="1" applyFont="1" applyFill="1" applyBorder="1" applyAlignment="1" applyProtection="1">
      <alignment horizontal="center" vertical="center" wrapText="1"/>
      <protection hidden="1"/>
    </xf>
    <xf numFmtId="0" fontId="22" fillId="0" borderId="2" xfId="0" applyFont="1" applyBorder="1" applyAlignment="1">
      <alignment horizontal="center" vertical="center" wrapText="1"/>
    </xf>
    <xf numFmtId="164" fontId="22" fillId="3" borderId="1" xfId="50" applyNumberFormat="1" applyFont="1" applyFill="1" applyBorder="1" applyAlignment="1">
      <alignment horizontal="center" vertical="center" wrapText="1"/>
    </xf>
    <xf numFmtId="164" fontId="22" fillId="0" borderId="1" xfId="50" applyNumberFormat="1" applyFont="1" applyBorder="1" applyAlignment="1">
      <alignment horizontal="center" vertical="center" wrapText="1"/>
    </xf>
    <xf numFmtId="0" fontId="56" fillId="0" borderId="1" xfId="1" applyFont="1" applyBorder="1" applyAlignment="1" applyProtection="1">
      <alignment horizontal="center" vertical="center" wrapText="1"/>
      <protection hidden="1"/>
    </xf>
    <xf numFmtId="166" fontId="22" fillId="41" borderId="1" xfId="67" applyNumberFormat="1" applyFont="1" applyFill="1" applyBorder="1" applyAlignment="1">
      <alignment horizontal="center" vertical="center" wrapText="1"/>
    </xf>
    <xf numFmtId="0" fontId="22" fillId="0" borderId="1" xfId="73" applyFont="1" applyFill="1" applyBorder="1" applyAlignment="1">
      <alignment horizontal="center" vertical="center" wrapText="1"/>
    </xf>
    <xf numFmtId="166" fontId="22" fillId="41" borderId="5" xfId="67" applyNumberFormat="1" applyFont="1" applyFill="1" applyBorder="1" applyAlignment="1">
      <alignment horizontal="center" vertical="center" wrapText="1"/>
    </xf>
    <xf numFmtId="167" fontId="22" fillId="0" borderId="1" xfId="0" applyNumberFormat="1" applyFont="1" applyBorder="1" applyAlignment="1">
      <alignment horizontal="center" vertical="center" wrapText="1"/>
    </xf>
    <xf numFmtId="166" fontId="22" fillId="0" borderId="1" xfId="67" applyNumberFormat="1" applyFont="1" applyFill="1" applyBorder="1" applyAlignment="1">
      <alignment horizontal="center" vertical="center" wrapText="1"/>
    </xf>
    <xf numFmtId="2" fontId="22" fillId="3" borderId="1" xfId="0" applyNumberFormat="1" applyFont="1" applyFill="1" applyBorder="1" applyAlignment="1">
      <alignment horizontal="center" vertical="center" wrapText="1"/>
    </xf>
    <xf numFmtId="0" fontId="55" fillId="0" borderId="1" xfId="1" applyFont="1" applyBorder="1" applyAlignment="1" applyProtection="1">
      <alignment horizontal="center" vertical="center" wrapText="1"/>
      <protection hidden="1"/>
    </xf>
    <xf numFmtId="0" fontId="58" fillId="0" borderId="1" xfId="0" applyFont="1" applyBorder="1" applyAlignment="1">
      <alignment horizontal="center" vertical="center" wrapText="1"/>
    </xf>
    <xf numFmtId="0" fontId="22" fillId="0" borderId="1" xfId="0" applyFont="1" applyBorder="1" applyAlignment="1" applyProtection="1">
      <alignment horizontal="center" vertical="top" wrapText="1"/>
      <protection locked="0"/>
    </xf>
    <xf numFmtId="3" fontId="22" fillId="0" borderId="1" xfId="0" applyNumberFormat="1" applyFont="1" applyBorder="1" applyAlignment="1">
      <alignment horizontal="center" vertical="center" wrapText="1"/>
    </xf>
    <xf numFmtId="1" fontId="22" fillId="0" borderId="1" xfId="0" applyNumberFormat="1" applyFont="1" applyBorder="1" applyAlignment="1">
      <alignment horizontal="center" vertical="center" wrapText="1"/>
    </xf>
    <xf numFmtId="0" fontId="22" fillId="0" borderId="4" xfId="0" applyFont="1" applyBorder="1" applyAlignment="1">
      <alignment horizontal="center" vertical="center" wrapText="1"/>
    </xf>
    <xf numFmtId="166" fontId="22" fillId="0" borderId="1" xfId="0" applyNumberFormat="1" applyFont="1" applyBorder="1" applyAlignment="1">
      <alignment horizontal="center" vertical="center" wrapText="1"/>
    </xf>
    <xf numFmtId="167" fontId="22" fillId="0" borderId="4" xfId="0" applyNumberFormat="1" applyFont="1" applyBorder="1" applyAlignment="1">
      <alignment horizontal="center" vertical="center" wrapText="1"/>
    </xf>
    <xf numFmtId="166" fontId="22" fillId="0" borderId="4" xfId="0" applyNumberFormat="1" applyFont="1" applyBorder="1" applyAlignment="1">
      <alignment horizontal="center" vertical="center" wrapText="1"/>
    </xf>
    <xf numFmtId="0" fontId="21" fillId="0" borderId="1" xfId="0" applyFont="1" applyBorder="1" applyAlignment="1">
      <alignment horizontal="center" vertical="center" wrapText="1"/>
    </xf>
    <xf numFmtId="2" fontId="22" fillId="0" borderId="1" xfId="0" applyNumberFormat="1" applyFont="1" applyBorder="1" applyAlignment="1">
      <alignment horizontal="center" vertical="center" wrapText="1"/>
    </xf>
    <xf numFmtId="166" fontId="22" fillId="0" borderId="1" xfId="4" applyNumberFormat="1" applyFont="1" applyBorder="1" applyAlignment="1" applyProtection="1">
      <alignment horizontal="center" vertical="center" wrapText="1"/>
      <protection hidden="1"/>
    </xf>
    <xf numFmtId="0" fontId="22" fillId="0" borderId="1" xfId="4" applyFont="1" applyBorder="1" applyAlignment="1" applyProtection="1">
      <alignment horizontal="center" vertical="top" wrapText="1"/>
      <protection hidden="1"/>
    </xf>
    <xf numFmtId="0" fontId="56" fillId="0" borderId="1" xfId="1" applyFont="1" applyBorder="1" applyAlignment="1" applyProtection="1">
      <alignment horizontal="center" vertical="top" wrapText="1"/>
      <protection hidden="1"/>
    </xf>
    <xf numFmtId="0" fontId="38" fillId="0" borderId="1" xfId="0" applyFont="1" applyBorder="1" applyAlignment="1">
      <alignment horizontal="center" vertical="top" wrapText="1"/>
    </xf>
    <xf numFmtId="0" fontId="22" fillId="0" borderId="5" xfId="0" applyFont="1" applyBorder="1" applyAlignment="1">
      <alignment horizontal="left" vertical="top" wrapText="1"/>
    </xf>
    <xf numFmtId="0" fontId="22" fillId="0" borderId="26" xfId="0" applyFont="1" applyBorder="1" applyAlignment="1">
      <alignment horizontal="center" vertical="center" wrapText="1"/>
    </xf>
    <xf numFmtId="166" fontId="22" fillId="0" borderId="5" xfId="0" applyNumberFormat="1" applyFont="1" applyBorder="1" applyAlignment="1">
      <alignment horizontal="center" vertical="center" wrapText="1"/>
    </xf>
    <xf numFmtId="0" fontId="34" fillId="3" borderId="25" xfId="0" applyFont="1" applyFill="1" applyBorder="1" applyAlignment="1">
      <alignment horizontal="center" vertical="center" wrapText="1"/>
    </xf>
    <xf numFmtId="0" fontId="22" fillId="0" borderId="5" xfId="0" applyFont="1" applyBorder="1" applyAlignment="1">
      <alignment horizontal="center" vertical="top" wrapText="1"/>
    </xf>
    <xf numFmtId="166" fontId="22" fillId="3" borderId="5" xfId="0" applyNumberFormat="1" applyFont="1" applyFill="1" applyBorder="1" applyAlignment="1">
      <alignment horizontal="center" vertical="center" wrapText="1"/>
    </xf>
    <xf numFmtId="0" fontId="22" fillId="3" borderId="23" xfId="0" applyFont="1" applyFill="1" applyBorder="1" applyAlignment="1">
      <alignment horizontal="center" vertical="top" wrapText="1"/>
    </xf>
    <xf numFmtId="0" fontId="34" fillId="0" borderId="5" xfId="71" applyFont="1" applyBorder="1" applyAlignment="1">
      <alignment vertical="top" wrapText="1"/>
    </xf>
    <xf numFmtId="0" fontId="34" fillId="0" borderId="5" xfId="59" applyFont="1" applyBorder="1" applyAlignment="1">
      <alignment horizontal="center" vertical="center" wrapText="1"/>
    </xf>
    <xf numFmtId="0" fontId="22" fillId="0" borderId="2" xfId="0" applyFont="1" applyBorder="1" applyAlignment="1">
      <alignment horizontal="center" vertical="top" wrapText="1"/>
    </xf>
    <xf numFmtId="0" fontId="34" fillId="39" borderId="1" xfId="0" applyFont="1" applyFill="1" applyBorder="1" applyAlignment="1">
      <alignment horizontal="center" vertical="center" wrapText="1"/>
    </xf>
    <xf numFmtId="0" fontId="22" fillId="0" borderId="5" xfId="0" applyFont="1" applyBorder="1" applyAlignment="1">
      <alignment horizontal="center" vertical="center" wrapText="1"/>
    </xf>
    <xf numFmtId="0" fontId="34" fillId="39" borderId="5" xfId="0" applyFont="1" applyFill="1" applyBorder="1" applyAlignment="1">
      <alignment horizontal="center" vertical="center" wrapText="1"/>
    </xf>
    <xf numFmtId="0" fontId="22" fillId="0" borderId="1" xfId="59" applyFont="1" applyBorder="1" applyAlignment="1">
      <alignment horizontal="center" vertical="center" wrapText="1"/>
    </xf>
    <xf numFmtId="0" fontId="34" fillId="0" borderId="1" xfId="0" applyFont="1" applyBorder="1" applyAlignment="1">
      <alignment vertical="top" wrapText="1"/>
    </xf>
    <xf numFmtId="0" fontId="34" fillId="0" borderId="1" xfId="59" applyFont="1" applyBorder="1" applyAlignment="1">
      <alignment horizontal="center" vertical="center" wrapText="1"/>
    </xf>
    <xf numFmtId="0" fontId="34" fillId="0" borderId="1" xfId="0" applyFont="1" applyBorder="1" applyAlignment="1">
      <alignment horizontal="left" vertical="top" wrapText="1"/>
    </xf>
    <xf numFmtId="0" fontId="34" fillId="0" borderId="1" xfId="0" applyFont="1" applyBorder="1" applyAlignment="1">
      <alignment horizontal="center" vertical="center" wrapText="1"/>
    </xf>
    <xf numFmtId="0" fontId="60" fillId="3" borderId="2" xfId="0" applyFont="1" applyFill="1" applyBorder="1" applyAlignment="1">
      <alignment horizontal="center" vertical="center" wrapText="1"/>
    </xf>
    <xf numFmtId="0" fontId="34" fillId="3" borderId="1" xfId="0" applyFont="1" applyFill="1" applyBorder="1" applyAlignment="1">
      <alignment horizontal="center" vertical="center" wrapText="1"/>
    </xf>
    <xf numFmtId="0" fontId="34" fillId="3" borderId="1" xfId="0" applyFont="1" applyFill="1" applyBorder="1" applyAlignment="1">
      <alignment horizontal="left" vertical="center" wrapText="1"/>
    </xf>
    <xf numFmtId="0" fontId="60" fillId="3" borderId="1" xfId="0" applyFont="1" applyFill="1" applyBorder="1" applyAlignment="1">
      <alignment horizontal="center" vertical="center" wrapText="1"/>
    </xf>
    <xf numFmtId="0" fontId="22" fillId="0" borderId="4" xfId="0" applyFont="1" applyBorder="1" applyAlignment="1">
      <alignment horizontal="left" vertical="top" wrapText="1"/>
    </xf>
    <xf numFmtId="0" fontId="22" fillId="0" borderId="6" xfId="0" applyFont="1" applyBorder="1" applyAlignment="1">
      <alignment horizontal="center" vertical="center" wrapText="1"/>
    </xf>
    <xf numFmtId="0" fontId="22" fillId="0" borderId="23" xfId="0" applyFont="1" applyBorder="1" applyAlignment="1">
      <alignment horizontal="center" vertical="center" wrapText="1"/>
    </xf>
    <xf numFmtId="0" fontId="34" fillId="0" borderId="7" xfId="0" applyFont="1" applyBorder="1" applyAlignment="1">
      <alignment horizontal="center" vertical="center" wrapText="1"/>
    </xf>
    <xf numFmtId="0" fontId="22" fillId="0" borderId="6" xfId="0" applyFont="1" applyBorder="1" applyAlignment="1">
      <alignment horizontal="center" vertical="top" wrapText="1"/>
    </xf>
    <xf numFmtId="167" fontId="22" fillId="3" borderId="5" xfId="0" applyNumberFormat="1" applyFont="1" applyFill="1" applyBorder="1" applyAlignment="1">
      <alignment horizontal="center" vertical="center" wrapText="1"/>
    </xf>
    <xf numFmtId="0" fontId="22" fillId="0" borderId="5" xfId="0" applyFont="1" applyBorder="1" applyAlignment="1">
      <alignment vertical="center" wrapText="1"/>
    </xf>
    <xf numFmtId="0" fontId="22" fillId="0" borderId="0" xfId="0" applyFont="1" applyAlignment="1">
      <alignment vertical="center" wrapText="1"/>
    </xf>
    <xf numFmtId="0" fontId="34" fillId="0" borderId="1" xfId="0" applyFont="1" applyBorder="1" applyAlignment="1">
      <alignment horizontal="center" vertical="top" wrapText="1"/>
    </xf>
    <xf numFmtId="2" fontId="2" fillId="0" borderId="1" xfId="0" applyNumberFormat="1" applyFont="1" applyBorder="1" applyAlignment="1">
      <alignment horizontal="center" vertical="center" wrapText="1"/>
    </xf>
    <xf numFmtId="0" fontId="2" fillId="3" borderId="1" xfId="74" applyFont="1" applyFill="1" applyBorder="1" applyAlignment="1">
      <alignment horizontal="center" vertical="center"/>
    </xf>
    <xf numFmtId="0" fontId="22" fillId="3" borderId="1" xfId="74" applyFont="1" applyFill="1" applyBorder="1" applyAlignment="1">
      <alignment horizontal="center" vertical="center" wrapText="1"/>
    </xf>
    <xf numFmtId="2" fontId="2" fillId="3" borderId="1" xfId="74" applyNumberFormat="1" applyFont="1" applyFill="1" applyBorder="1" applyAlignment="1">
      <alignment horizontal="center" vertical="center"/>
    </xf>
    <xf numFmtId="49" fontId="2" fillId="0" borderId="1" xfId="0" applyNumberFormat="1" applyFont="1" applyBorder="1" applyAlignment="1">
      <alignment horizontal="center" vertical="center" wrapText="1"/>
    </xf>
    <xf numFmtId="0" fontId="67" fillId="0" borderId="5" xfId="0" applyFont="1" applyBorder="1" applyAlignment="1">
      <alignment horizontal="center" vertical="center" wrapText="1"/>
    </xf>
    <xf numFmtId="2" fontId="2" fillId="3" borderId="1" xfId="0" applyNumberFormat="1" applyFont="1" applyFill="1" applyBorder="1" applyAlignment="1">
      <alignment horizontal="center" vertical="center" wrapText="1"/>
    </xf>
    <xf numFmtId="1" fontId="2" fillId="0" borderId="1" xfId="0" applyNumberFormat="1" applyFont="1" applyBorder="1" applyAlignment="1">
      <alignment horizontal="center" vertical="center" wrapText="1"/>
    </xf>
    <xf numFmtId="0" fontId="42" fillId="0" borderId="1" xfId="0" applyFont="1" applyBorder="1" applyAlignment="1">
      <alignment horizontal="center" vertical="center" wrapText="1"/>
    </xf>
    <xf numFmtId="166" fontId="42" fillId="3" borderId="1" xfId="0" applyNumberFormat="1" applyFont="1" applyFill="1" applyBorder="1" applyAlignment="1">
      <alignment horizontal="center" vertical="center" wrapText="1"/>
    </xf>
    <xf numFmtId="0" fontId="42" fillId="0" borderId="1" xfId="0" applyFont="1" applyBorder="1" applyAlignment="1">
      <alignment vertical="center" wrapText="1"/>
    </xf>
    <xf numFmtId="0" fontId="22" fillId="0" borderId="0" xfId="0" applyFont="1" applyAlignment="1">
      <alignment horizontal="left" vertical="center" wrapText="1"/>
    </xf>
    <xf numFmtId="0" fontId="62" fillId="0" borderId="1" xfId="0" applyFont="1" applyBorder="1" applyAlignment="1">
      <alignment horizontal="center" vertical="center"/>
    </xf>
    <xf numFmtId="166" fontId="2" fillId="0" borderId="1" xfId="0" applyNumberFormat="1" applyFont="1" applyBorder="1" applyAlignment="1">
      <alignment horizontal="center" vertical="center" wrapText="1"/>
    </xf>
    <xf numFmtId="166" fontId="2" fillId="0" borderId="1" xfId="0" applyNumberFormat="1" applyFont="1" applyBorder="1" applyAlignment="1">
      <alignment horizontal="center" vertical="center"/>
    </xf>
    <xf numFmtId="0" fontId="22" fillId="0" borderId="5" xfId="0" applyFont="1" applyBorder="1" applyAlignment="1">
      <alignment vertical="top" wrapText="1"/>
    </xf>
    <xf numFmtId="166" fontId="22" fillId="0" borderId="1" xfId="0" applyNumberFormat="1" applyFont="1" applyBorder="1" applyAlignment="1">
      <alignment horizontal="center" vertical="center"/>
    </xf>
    <xf numFmtId="0" fontId="52" fillId="0" borderId="1" xfId="1" applyFont="1" applyBorder="1" applyAlignment="1" applyProtection="1">
      <alignment horizontal="center" vertical="center" wrapText="1"/>
      <protection hidden="1"/>
    </xf>
    <xf numFmtId="166" fontId="22" fillId="0" borderId="6" xfId="0" applyNumberFormat="1" applyFont="1" applyBorder="1" applyAlignment="1">
      <alignment horizontal="center" vertical="center" wrapText="1"/>
    </xf>
    <xf numFmtId="0" fontId="2" fillId="3" borderId="5" xfId="0" applyFont="1" applyFill="1" applyBorder="1" applyAlignment="1">
      <alignment vertical="center" wrapText="1"/>
    </xf>
    <xf numFmtId="0" fontId="2" fillId="0" borderId="1" xfId="0" applyFont="1" applyBorder="1" applyAlignment="1">
      <alignment horizontal="justify" vertical="center" wrapText="1"/>
    </xf>
    <xf numFmtId="0" fontId="2" fillId="0" borderId="2" xfId="0" applyFont="1" applyBorder="1" applyAlignment="1">
      <alignment vertical="center" wrapText="1"/>
    </xf>
    <xf numFmtId="0" fontId="2" fillId="0" borderId="2" xfId="0" applyFont="1" applyBorder="1" applyAlignment="1">
      <alignment horizontal="center" vertical="center" wrapText="1"/>
    </xf>
    <xf numFmtId="0" fontId="21" fillId="0" borderId="1" xfId="4" applyFont="1" applyBorder="1" applyAlignment="1" applyProtection="1">
      <alignment horizontal="center" vertical="top" wrapText="1"/>
      <protection hidden="1"/>
    </xf>
    <xf numFmtId="0" fontId="21" fillId="3" borderId="1" xfId="4" applyFont="1" applyFill="1" applyBorder="1" applyAlignment="1" applyProtection="1">
      <alignment horizontal="center" vertical="center" wrapText="1"/>
      <protection hidden="1"/>
    </xf>
    <xf numFmtId="166" fontId="22" fillId="3" borderId="1" xfId="4" applyNumberFormat="1" applyFont="1" applyFill="1" applyBorder="1" applyAlignment="1" applyProtection="1">
      <alignment horizontal="center" vertical="center" wrapText="1"/>
      <protection hidden="1"/>
    </xf>
    <xf numFmtId="0" fontId="39" fillId="0" borderId="2" xfId="51" applyFont="1" applyFill="1" applyBorder="1" applyAlignment="1">
      <alignment vertical="center" wrapText="1"/>
    </xf>
    <xf numFmtId="0" fontId="39" fillId="0" borderId="2" xfId="51" applyFont="1" applyFill="1" applyBorder="1" applyAlignment="1">
      <alignment horizontal="center" vertical="center"/>
    </xf>
    <xf numFmtId="166" fontId="39" fillId="0" borderId="2" xfId="51" applyNumberFormat="1" applyFont="1" applyFill="1" applyBorder="1" applyAlignment="1">
      <alignment horizontal="center" vertical="center"/>
    </xf>
    <xf numFmtId="0" fontId="39" fillId="0" borderId="2" xfId="51" applyFont="1" applyFill="1" applyBorder="1" applyAlignment="1">
      <alignment horizontal="left" vertical="center" wrapText="1"/>
    </xf>
    <xf numFmtId="0" fontId="39" fillId="0" borderId="1" xfId="51" applyFont="1" applyFill="1" applyBorder="1" applyAlignment="1">
      <alignment horizontal="center" vertical="center" wrapText="1"/>
    </xf>
    <xf numFmtId="166" fontId="39" fillId="0" borderId="1" xfId="51" applyNumberFormat="1" applyFont="1" applyFill="1" applyBorder="1" applyAlignment="1">
      <alignment horizontal="center" vertical="center"/>
    </xf>
    <xf numFmtId="0" fontId="39" fillId="0" borderId="1" xfId="51" applyFont="1" applyFill="1" applyBorder="1" applyAlignment="1">
      <alignment horizontal="center" vertical="center"/>
    </xf>
    <xf numFmtId="0" fontId="7" fillId="0" borderId="2" xfId="51" applyFont="1" applyFill="1" applyBorder="1" applyAlignment="1">
      <alignment vertical="center" wrapText="1"/>
    </xf>
    <xf numFmtId="49" fontId="7" fillId="0" borderId="2"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0" fontId="6" fillId="0" borderId="0" xfId="0" applyFont="1" applyAlignment="1">
      <alignment horizontal="center" vertical="top"/>
    </xf>
    <xf numFmtId="0" fontId="8" fillId="0" borderId="1" xfId="0" applyFont="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49" fontId="22" fillId="0" borderId="1" xfId="53" applyNumberFormat="1" applyFont="1" applyFill="1" applyBorder="1" applyAlignment="1">
      <alignment horizontal="center" vertical="center" wrapText="1"/>
    </xf>
    <xf numFmtId="0" fontId="22" fillId="0" borderId="1" xfId="53" applyFont="1" applyBorder="1" applyAlignment="1">
      <alignment horizontal="center" vertical="center" wrapText="1"/>
    </xf>
    <xf numFmtId="0" fontId="22" fillId="44" borderId="0" xfId="1" applyFont="1" applyFill="1" applyAlignment="1" applyProtection="1">
      <alignment vertical="top"/>
      <protection locked="0"/>
    </xf>
    <xf numFmtId="0" fontId="22" fillId="38" borderId="0" xfId="1" applyFont="1" applyFill="1" applyAlignment="1" applyProtection="1">
      <alignment vertical="top"/>
      <protection locked="0"/>
    </xf>
    <xf numFmtId="168" fontId="53" fillId="38" borderId="0" xfId="1" applyNumberFormat="1" applyFont="1" applyFill="1" applyAlignment="1" applyProtection="1">
      <alignment horizontal="center" vertical="top" wrapText="1"/>
      <protection hidden="1"/>
    </xf>
    <xf numFmtId="0" fontId="21" fillId="0" borderId="1" xfId="1" applyNumberFormat="1" applyFont="1" applyFill="1" applyBorder="1" applyAlignment="1" applyProtection="1">
      <alignment horizontal="center" vertical="center" wrapText="1"/>
      <protection hidden="1"/>
    </xf>
    <xf numFmtId="2" fontId="49" fillId="4" borderId="1" xfId="53" applyNumberFormat="1" applyFont="1" applyFill="1" applyBorder="1" applyAlignment="1">
      <alignment horizontal="center" vertical="center" wrapText="1"/>
    </xf>
    <xf numFmtId="49" fontId="21" fillId="3" borderId="1" xfId="53" applyNumberFormat="1" applyFont="1" applyFill="1" applyBorder="1" applyAlignment="1">
      <alignment horizontal="center" vertical="center" wrapText="1"/>
    </xf>
    <xf numFmtId="0" fontId="21" fillId="3" borderId="1" xfId="1" applyFont="1" applyFill="1" applyBorder="1" applyAlignment="1" applyProtection="1">
      <alignment horizontal="left" vertical="center" wrapText="1"/>
      <protection hidden="1"/>
    </xf>
    <xf numFmtId="4" fontId="2" fillId="3" borderId="4" xfId="0" applyNumberFormat="1" applyFont="1" applyFill="1" applyBorder="1" applyAlignment="1">
      <alignment horizontal="center" vertical="center"/>
    </xf>
    <xf numFmtId="10" fontId="49" fillId="42" borderId="1" xfId="56" applyNumberFormat="1" applyFont="1" applyFill="1" applyBorder="1" applyAlignment="1">
      <alignment horizontal="center" vertical="center" wrapText="1"/>
    </xf>
    <xf numFmtId="0" fontId="66" fillId="0" borderId="1" xfId="0" applyFont="1" applyBorder="1" applyAlignment="1">
      <alignment horizontal="center" vertical="center" wrapText="1"/>
    </xf>
    <xf numFmtId="0" fontId="71" fillId="48" borderId="1" xfId="0" applyFont="1" applyFill="1" applyBorder="1" applyAlignment="1">
      <alignment horizontal="center" vertical="center" wrapText="1"/>
    </xf>
    <xf numFmtId="0" fontId="22" fillId="3" borderId="1" xfId="0" applyFont="1" applyFill="1" applyBorder="1" applyAlignment="1">
      <alignment horizontal="center" vertical="center" wrapText="1"/>
    </xf>
    <xf numFmtId="49" fontId="22" fillId="0" borderId="1" xfId="53" applyNumberFormat="1" applyFont="1" applyFill="1" applyBorder="1" applyAlignment="1">
      <alignment horizontal="center" vertical="center" wrapText="1"/>
    </xf>
    <xf numFmtId="0" fontId="39" fillId="0" borderId="2" xfId="51" applyFont="1" applyFill="1" applyBorder="1" applyAlignment="1">
      <alignment horizontal="center" vertical="center" wrapText="1"/>
    </xf>
    <xf numFmtId="0" fontId="22" fillId="44" borderId="0" xfId="1" applyFont="1" applyFill="1" applyBorder="1" applyAlignment="1" applyProtection="1">
      <alignment vertical="top"/>
      <protection locked="0"/>
    </xf>
    <xf numFmtId="0" fontId="22" fillId="38" borderId="0" xfId="1" applyFont="1" applyFill="1" applyBorder="1" applyAlignment="1" applyProtection="1">
      <alignment vertical="top"/>
      <protection locked="0"/>
    </xf>
    <xf numFmtId="0" fontId="36" fillId="0" borderId="1" xfId="1" applyFont="1" applyFill="1" applyBorder="1" applyAlignment="1" applyProtection="1">
      <alignment horizontal="center" vertical="center" wrapText="1"/>
      <protection hidden="1"/>
    </xf>
    <xf numFmtId="1" fontId="36" fillId="0" borderId="1" xfId="56" applyNumberFormat="1" applyFont="1" applyFill="1" applyBorder="1" applyAlignment="1">
      <alignment horizontal="center" vertical="center" wrapText="1"/>
    </xf>
    <xf numFmtId="2" fontId="36" fillId="37" borderId="1" xfId="53" applyNumberFormat="1" applyFont="1" applyFill="1" applyBorder="1" applyAlignment="1">
      <alignment horizontal="center" vertical="center" wrapText="1"/>
    </xf>
    <xf numFmtId="166" fontId="36" fillId="40" borderId="1" xfId="56" applyNumberFormat="1" applyFont="1" applyFill="1" applyBorder="1" applyAlignment="1">
      <alignment horizontal="center" vertical="center" wrapText="1"/>
    </xf>
    <xf numFmtId="166" fontId="36" fillId="4" borderId="1" xfId="56" applyNumberFormat="1" applyFont="1" applyFill="1" applyBorder="1" applyAlignment="1">
      <alignment horizontal="center" vertical="center" wrapText="1"/>
    </xf>
    <xf numFmtId="166" fontId="36" fillId="37" borderId="1" xfId="56" applyNumberFormat="1" applyFont="1" applyFill="1" applyBorder="1" applyAlignment="1">
      <alignment horizontal="center" vertical="center" wrapText="1"/>
    </xf>
    <xf numFmtId="0" fontId="22" fillId="3" borderId="1" xfId="56" applyNumberFormat="1" applyFont="1" applyFill="1" applyBorder="1" applyAlignment="1">
      <alignment horizontal="center" vertical="center" wrapText="1"/>
    </xf>
    <xf numFmtId="0" fontId="39" fillId="0" borderId="1" xfId="51" applyFont="1" applyFill="1" applyBorder="1" applyAlignment="1">
      <alignment horizontal="left" vertical="center" wrapText="1"/>
    </xf>
    <xf numFmtId="0" fontId="39" fillId="0" borderId="1" xfId="51" applyFont="1" applyFill="1" applyBorder="1" applyAlignment="1">
      <alignment vertical="top" wrapText="1"/>
    </xf>
    <xf numFmtId="0" fontId="39" fillId="0" borderId="2" xfId="51" applyFont="1" applyFill="1" applyBorder="1" applyAlignment="1">
      <alignment horizontal="center" vertical="center"/>
    </xf>
    <xf numFmtId="2" fontId="22" fillId="0" borderId="1" xfId="53" applyNumberFormat="1" applyFont="1" applyFill="1" applyBorder="1" applyAlignment="1">
      <alignment horizontal="center" vertical="center" wrapText="1"/>
    </xf>
    <xf numFmtId="0" fontId="22" fillId="3" borderId="1" xfId="0" applyFont="1" applyFill="1" applyBorder="1" applyAlignment="1">
      <alignment horizontal="center" vertical="center" wrapText="1"/>
    </xf>
    <xf numFmtId="10" fontId="0" fillId="0" borderId="0" xfId="51" applyNumberFormat="1" applyFont="1"/>
    <xf numFmtId="10" fontId="0" fillId="0" borderId="0" xfId="51" applyNumberFormat="1" applyFont="1" applyFill="1"/>
    <xf numFmtId="166" fontId="49" fillId="49" borderId="1" xfId="56" applyNumberFormat="1" applyFont="1" applyFill="1" applyBorder="1" applyAlignment="1">
      <alignment horizontal="center" vertical="center" wrapText="1"/>
    </xf>
    <xf numFmtId="1" fontId="21" fillId="0" borderId="1" xfId="56" applyNumberFormat="1" applyFont="1" applyFill="1" applyBorder="1" applyAlignment="1">
      <alignment horizontal="center" vertical="center" wrapText="1"/>
    </xf>
    <xf numFmtId="0" fontId="8" fillId="0" borderId="0" xfId="0" applyFont="1" applyAlignment="1">
      <alignment horizontal="center" vertical="center"/>
    </xf>
    <xf numFmtId="0" fontId="39" fillId="0" borderId="1" xfId="51" applyFont="1" applyFill="1" applyBorder="1" applyAlignment="1">
      <alignment horizontal="center" vertical="center" wrapText="1"/>
    </xf>
    <xf numFmtId="0" fontId="22" fillId="3" borderId="1" xfId="0" applyFont="1" applyFill="1" applyBorder="1" applyAlignment="1">
      <alignment horizontal="center" vertical="center" wrapText="1"/>
    </xf>
    <xf numFmtId="1" fontId="21" fillId="0" borderId="1" xfId="56"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2" fillId="3" borderId="1" xfId="0" applyFont="1" applyFill="1" applyBorder="1" applyAlignment="1">
      <alignment horizontal="left" vertical="center" wrapText="1"/>
    </xf>
    <xf numFmtId="0" fontId="39" fillId="0" borderId="2" xfId="51" applyFont="1" applyFill="1" applyBorder="1" applyAlignment="1">
      <alignment vertical="top" wrapText="1"/>
    </xf>
    <xf numFmtId="0" fontId="22" fillId="3" borderId="1" xfId="0" applyFont="1" applyFill="1" applyBorder="1" applyAlignment="1">
      <alignment horizontal="center" vertical="center" wrapText="1"/>
    </xf>
    <xf numFmtId="0" fontId="22" fillId="3" borderId="1" xfId="0" applyFont="1" applyFill="1" applyBorder="1" applyAlignment="1">
      <alignment horizontal="left" vertical="center" wrapText="1"/>
    </xf>
    <xf numFmtId="0" fontId="51" fillId="3" borderId="1" xfId="4" applyFont="1" applyFill="1" applyBorder="1" applyAlignment="1" applyProtection="1">
      <alignment vertical="center"/>
      <protection locked="0"/>
    </xf>
    <xf numFmtId="0" fontId="74" fillId="0" borderId="1" xfId="0" applyFont="1" applyFill="1" applyBorder="1" applyAlignment="1">
      <alignment horizontal="center" vertical="center" wrapText="1"/>
    </xf>
    <xf numFmtId="0" fontId="75" fillId="0" borderId="34" xfId="0" applyFont="1" applyFill="1" applyBorder="1" applyAlignment="1">
      <alignment horizontal="center" vertical="center" wrapText="1"/>
    </xf>
    <xf numFmtId="0" fontId="67" fillId="0" borderId="34" xfId="0" applyFont="1" applyFill="1" applyBorder="1" applyAlignment="1">
      <alignment horizontal="center" vertical="center" wrapText="1"/>
    </xf>
    <xf numFmtId="0" fontId="68" fillId="0" borderId="34" xfId="0" applyFont="1" applyFill="1" applyBorder="1" applyAlignment="1">
      <alignment horizontal="center" vertical="center" wrapText="1"/>
    </xf>
    <xf numFmtId="0" fontId="22" fillId="0" borderId="1" xfId="0" applyFont="1" applyFill="1" applyBorder="1" applyAlignment="1">
      <alignment horizontal="left" vertical="center" wrapText="1"/>
    </xf>
    <xf numFmtId="0" fontId="22" fillId="3" borderId="2" xfId="0" applyFont="1" applyFill="1" applyBorder="1" applyAlignment="1">
      <alignment horizontal="center" vertical="center" wrapText="1"/>
    </xf>
    <xf numFmtId="0" fontId="22" fillId="3" borderId="5" xfId="0" applyFont="1" applyFill="1" applyBorder="1" applyAlignment="1">
      <alignment horizontal="center" vertical="center" wrapText="1"/>
    </xf>
    <xf numFmtId="0" fontId="39" fillId="0" borderId="1" xfId="51" applyFont="1" applyFill="1" applyBorder="1" applyAlignment="1">
      <alignment horizontal="center" vertical="center" wrapText="1"/>
    </xf>
    <xf numFmtId="0" fontId="22" fillId="3" borderId="5" xfId="0" applyFont="1" applyFill="1" applyBorder="1" applyAlignment="1">
      <alignment horizontal="left" vertical="center" wrapText="1"/>
    </xf>
    <xf numFmtId="0" fontId="22" fillId="3" borderId="1" xfId="0" applyFont="1" applyFill="1" applyBorder="1" applyAlignment="1">
      <alignment horizontal="center" vertical="center" wrapText="1"/>
    </xf>
    <xf numFmtId="0" fontId="22" fillId="3" borderId="5" xfId="0" applyFont="1" applyFill="1" applyBorder="1" applyAlignment="1">
      <alignment horizontal="left" vertical="top" wrapText="1"/>
    </xf>
    <xf numFmtId="49" fontId="22" fillId="0" borderId="1" xfId="53" applyNumberFormat="1" applyFont="1" applyFill="1" applyBorder="1" applyAlignment="1">
      <alignment horizontal="center" vertical="center" wrapText="1"/>
    </xf>
    <xf numFmtId="10" fontId="23" fillId="0" borderId="1" xfId="56" applyNumberFormat="1" applyFont="1" applyFill="1" applyBorder="1" applyAlignment="1">
      <alignment horizontal="center" vertical="center" wrapText="1"/>
    </xf>
    <xf numFmtId="0" fontId="36" fillId="0" borderId="2" xfId="1" applyFont="1" applyFill="1" applyBorder="1" applyAlignment="1" applyProtection="1">
      <alignment horizontal="center" vertical="center" wrapText="1"/>
      <protection hidden="1"/>
    </xf>
    <xf numFmtId="49" fontId="7" fillId="0" borderId="2" xfId="0" applyNumberFormat="1" applyFont="1" applyFill="1" applyBorder="1" applyAlignment="1">
      <alignment horizontal="center" vertical="top" wrapText="1"/>
    </xf>
    <xf numFmtId="1" fontId="23" fillId="0" borderId="1" xfId="56" applyNumberFormat="1" applyFont="1" applyFill="1" applyBorder="1" applyAlignment="1">
      <alignment horizontal="center" vertical="center" wrapText="1"/>
    </xf>
    <xf numFmtId="0" fontId="34" fillId="3" borderId="25" xfId="0" applyFont="1" applyFill="1" applyBorder="1" applyAlignment="1">
      <alignment horizontal="center" vertical="top" wrapText="1"/>
    </xf>
    <xf numFmtId="0" fontId="22" fillId="0" borderId="1" xfId="0" applyFont="1" applyFill="1" applyBorder="1" applyAlignment="1">
      <alignment vertical="top" wrapText="1"/>
    </xf>
    <xf numFmtId="2" fontId="22" fillId="3" borderId="5" xfId="0" applyNumberFormat="1" applyFont="1" applyFill="1" applyBorder="1" applyAlignment="1">
      <alignment horizontal="center" vertical="center" wrapText="1"/>
    </xf>
    <xf numFmtId="0" fontId="22" fillId="0" borderId="5" xfId="0" applyFont="1" applyFill="1" applyBorder="1" applyAlignment="1">
      <alignment horizontal="center" vertical="center" wrapText="1"/>
    </xf>
    <xf numFmtId="49" fontId="21" fillId="46" borderId="1" xfId="4" applyNumberFormat="1" applyFont="1" applyFill="1" applyBorder="1" applyAlignment="1" applyProtection="1">
      <alignment horizontal="center" vertical="top" wrapText="1"/>
      <protection hidden="1"/>
    </xf>
    <xf numFmtId="166" fontId="21" fillId="46" borderId="1" xfId="4" applyNumberFormat="1" applyFont="1" applyFill="1" applyBorder="1" applyAlignment="1" applyProtection="1">
      <alignment horizontal="center" vertical="top" wrapText="1"/>
      <protection hidden="1"/>
    </xf>
    <xf numFmtId="0" fontId="21" fillId="46" borderId="1" xfId="4" applyFont="1" applyFill="1" applyBorder="1" applyAlignment="1">
      <alignment horizontal="left" vertical="top" wrapText="1"/>
    </xf>
    <xf numFmtId="0" fontId="21" fillId="46" borderId="1" xfId="4" applyFont="1" applyFill="1" applyBorder="1" applyAlignment="1" applyProtection="1">
      <alignment horizontal="center" vertical="top" wrapText="1"/>
      <protection hidden="1"/>
    </xf>
    <xf numFmtId="166" fontId="39" fillId="46" borderId="1" xfId="51" applyNumberFormat="1" applyFont="1" applyFill="1" applyBorder="1" applyAlignment="1">
      <alignment horizontal="center" vertical="center" wrapText="1"/>
    </xf>
    <xf numFmtId="166" fontId="40" fillId="46" borderId="1" xfId="51"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164" fontId="2" fillId="3" borderId="4" xfId="0" applyNumberFormat="1" applyFont="1" applyFill="1" applyBorder="1" applyAlignment="1">
      <alignment horizontal="center" vertical="center"/>
    </xf>
    <xf numFmtId="166" fontId="21" fillId="46" borderId="34" xfId="56" applyNumberFormat="1" applyFont="1" applyFill="1" applyBorder="1" applyAlignment="1">
      <alignment horizontal="center" vertical="center" wrapText="1"/>
    </xf>
    <xf numFmtId="166" fontId="21" fillId="4" borderId="1" xfId="56" applyNumberFormat="1" applyFont="1" applyFill="1" applyBorder="1" applyAlignment="1">
      <alignment horizontal="center" vertical="center" wrapText="1"/>
    </xf>
    <xf numFmtId="166" fontId="21" fillId="40" borderId="1" xfId="56" applyNumberFormat="1" applyFont="1" applyFill="1" applyBorder="1" applyAlignment="1">
      <alignment horizontal="center" vertical="center" wrapText="1"/>
    </xf>
    <xf numFmtId="166" fontId="21" fillId="37" borderId="1" xfId="56" applyNumberFormat="1" applyFont="1" applyFill="1" applyBorder="1" applyAlignment="1">
      <alignment horizontal="center" vertical="center" wrapText="1"/>
    </xf>
    <xf numFmtId="0" fontId="38" fillId="0" borderId="0" xfId="1" applyFont="1" applyAlignment="1" applyProtection="1">
      <alignment horizontal="right" vertical="center"/>
      <protection locked="0"/>
    </xf>
    <xf numFmtId="0" fontId="38" fillId="0" borderId="0" xfId="1" applyFont="1" applyAlignment="1" applyProtection="1">
      <alignment horizontal="center" vertical="top"/>
      <protection locked="0"/>
    </xf>
    <xf numFmtId="0" fontId="22" fillId="3" borderId="1" xfId="0" applyFont="1" applyFill="1" applyBorder="1" applyAlignment="1">
      <alignment horizontal="center" vertical="center" wrapText="1"/>
    </xf>
    <xf numFmtId="0" fontId="39" fillId="0" borderId="2" xfId="51" applyFont="1" applyFill="1" applyBorder="1" applyAlignment="1">
      <alignment horizontal="center" vertical="center"/>
    </xf>
    <xf numFmtId="166" fontId="39" fillId="0" borderId="2" xfId="51" applyNumberFormat="1" applyFont="1" applyFill="1" applyBorder="1" applyAlignment="1">
      <alignment horizontal="center" vertical="center"/>
    </xf>
    <xf numFmtId="0" fontId="39" fillId="0" borderId="2" xfId="51" applyFont="1" applyFill="1" applyBorder="1" applyAlignment="1">
      <alignment vertical="center" wrapText="1"/>
    </xf>
    <xf numFmtId="0" fontId="39" fillId="0" borderId="2" xfId="51" applyFont="1" applyFill="1" applyBorder="1" applyAlignment="1">
      <alignment horizontal="center" vertical="center" wrapText="1"/>
    </xf>
    <xf numFmtId="0" fontId="39" fillId="0" borderId="2" xfId="51" applyFont="1" applyFill="1" applyBorder="1" applyAlignment="1">
      <alignment vertical="top" wrapText="1"/>
    </xf>
    <xf numFmtId="0" fontId="39" fillId="0" borderId="1" xfId="51" applyFont="1" applyFill="1" applyBorder="1" applyAlignment="1">
      <alignment horizontal="left" vertical="center" wrapText="1"/>
    </xf>
    <xf numFmtId="0" fontId="39" fillId="0" borderId="1" xfId="51" applyFont="1" applyFill="1" applyBorder="1" applyAlignment="1">
      <alignment horizontal="center" vertical="center" wrapText="1"/>
    </xf>
    <xf numFmtId="0" fontId="39" fillId="0" borderId="2" xfId="51" applyFont="1" applyFill="1" applyBorder="1" applyAlignment="1">
      <alignment horizontal="left" vertical="center" wrapText="1"/>
    </xf>
    <xf numFmtId="0" fontId="22" fillId="3" borderId="1" xfId="0" applyFont="1" applyFill="1" applyBorder="1" applyAlignment="1">
      <alignment horizontal="center" vertical="center" wrapText="1"/>
    </xf>
    <xf numFmtId="0" fontId="80" fillId="0" borderId="34" xfId="0" applyFont="1" applyFill="1" applyBorder="1" applyAlignment="1">
      <alignment horizontal="center" vertical="center" wrapText="1"/>
    </xf>
    <xf numFmtId="166" fontId="80"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22" fillId="3" borderId="1" xfId="0" applyFont="1" applyFill="1" applyBorder="1" applyAlignment="1">
      <alignment horizontal="center" vertical="center" wrapText="1"/>
    </xf>
    <xf numFmtId="0" fontId="78" fillId="0" borderId="1" xfId="0" applyFont="1" applyFill="1" applyBorder="1" applyAlignment="1">
      <alignment horizontal="center" vertical="center"/>
    </xf>
    <xf numFmtId="0" fontId="78" fillId="0" borderId="1" xfId="0" applyFont="1" applyBorder="1" applyAlignment="1">
      <alignment horizontal="center" vertical="center"/>
    </xf>
    <xf numFmtId="0" fontId="80" fillId="3" borderId="1" xfId="0" applyFont="1" applyFill="1" applyBorder="1" applyAlignment="1">
      <alignment horizontal="center" vertical="center" wrapText="1"/>
    </xf>
    <xf numFmtId="0" fontId="0" fillId="0" borderId="1" xfId="0" applyBorder="1" applyAlignment="1">
      <alignment horizontal="center" vertical="center" wrapText="1"/>
    </xf>
    <xf numFmtId="0" fontId="22" fillId="0" borderId="1" xfId="0" applyFont="1" applyFill="1" applyBorder="1" applyAlignment="1">
      <alignment horizontal="center" vertical="center" wrapText="1"/>
    </xf>
    <xf numFmtId="0" fontId="22" fillId="0" borderId="1" xfId="73" applyFont="1" applyFill="1" applyBorder="1" applyAlignment="1">
      <alignment horizontal="center" vertical="top" wrapText="1"/>
    </xf>
    <xf numFmtId="0" fontId="22" fillId="0" borderId="1" xfId="0" applyFont="1" applyBorder="1" applyAlignment="1" applyProtection="1">
      <alignment horizontal="center" vertical="center" wrapText="1"/>
      <protection locked="0"/>
    </xf>
    <xf numFmtId="164" fontId="8" fillId="0" borderId="1" xfId="0" applyNumberFormat="1" applyFont="1" applyBorder="1" applyAlignment="1">
      <alignment horizontal="right" vertical="center"/>
    </xf>
    <xf numFmtId="0" fontId="39" fillId="0" borderId="2" xfId="51" applyFont="1" applyFill="1" applyBorder="1" applyAlignment="1">
      <alignment horizontal="center" vertical="center" wrapText="1"/>
    </xf>
    <xf numFmtId="0" fontId="22" fillId="3" borderId="1" xfId="0" applyFont="1" applyFill="1" applyBorder="1" applyAlignment="1">
      <alignment horizontal="center" vertical="center" wrapText="1"/>
    </xf>
    <xf numFmtId="166" fontId="22" fillId="0" borderId="39" xfId="4" applyNumberFormat="1" applyFont="1" applyBorder="1" applyAlignment="1" applyProtection="1">
      <alignment horizontal="center" vertical="top"/>
      <protection locked="0"/>
    </xf>
    <xf numFmtId="168" fontId="22" fillId="0" borderId="1" xfId="0" applyNumberFormat="1" applyFont="1" applyBorder="1" applyAlignment="1">
      <alignment horizontal="center" vertical="center" wrapText="1"/>
    </xf>
    <xf numFmtId="170" fontId="22" fillId="0" borderId="1" xfId="0" applyNumberFormat="1" applyFont="1" applyBorder="1" applyAlignment="1">
      <alignment horizontal="center" vertical="center" wrapText="1"/>
    </xf>
    <xf numFmtId="10" fontId="49" fillId="49" borderId="1" xfId="56" applyNumberFormat="1" applyFont="1" applyFill="1" applyBorder="1" applyAlignment="1">
      <alignment horizontal="center" vertical="center" wrapText="1"/>
    </xf>
    <xf numFmtId="0" fontId="22" fillId="3" borderId="1" xfId="74" applyFont="1" applyFill="1" applyBorder="1" applyAlignment="1">
      <alignment horizontal="center" vertical="top" wrapText="1"/>
    </xf>
    <xf numFmtId="0" fontId="39" fillId="0" borderId="1" xfId="51" applyFont="1" applyFill="1" applyBorder="1" applyAlignment="1">
      <alignment horizontal="center" vertical="center" wrapText="1"/>
    </xf>
    <xf numFmtId="0" fontId="22" fillId="3" borderId="1" xfId="0" applyFont="1" applyFill="1" applyBorder="1" applyAlignment="1">
      <alignment horizontal="center" vertical="center" wrapText="1"/>
    </xf>
    <xf numFmtId="0" fontId="22" fillId="3" borderId="1" xfId="0" applyFont="1" applyFill="1" applyBorder="1" applyAlignment="1">
      <alignment horizontal="left" vertical="top" wrapText="1"/>
    </xf>
    <xf numFmtId="0" fontId="39" fillId="0" borderId="1" xfId="51" applyFont="1" applyFill="1" applyBorder="1" applyAlignment="1">
      <alignment horizontal="center" vertical="center" wrapText="1"/>
    </xf>
    <xf numFmtId="0" fontId="80" fillId="0" borderId="39" xfId="74" applyFont="1" applyFill="1" applyBorder="1" applyAlignment="1">
      <alignment horizontal="center" vertical="center" wrapText="1"/>
    </xf>
    <xf numFmtId="0" fontId="80" fillId="0" borderId="38" xfId="74" applyFont="1" applyFill="1" applyBorder="1" applyAlignment="1">
      <alignment horizontal="center" vertical="center" wrapText="1"/>
    </xf>
    <xf numFmtId="0" fontId="80" fillId="3" borderId="4" xfId="74" applyFont="1" applyFill="1" applyBorder="1" applyAlignment="1">
      <alignment horizontal="center" vertical="center" wrapText="1"/>
    </xf>
    <xf numFmtId="0" fontId="22" fillId="3" borderId="39"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34" fillId="3" borderId="1" xfId="0" applyFont="1" applyFill="1" applyBorder="1" applyAlignment="1">
      <alignment horizontal="center" vertical="center" wrapText="1"/>
    </xf>
    <xf numFmtId="0" fontId="22" fillId="0" borderId="1" xfId="50" applyFont="1" applyBorder="1" applyAlignment="1">
      <alignment horizontal="center" vertical="top" wrapText="1"/>
    </xf>
    <xf numFmtId="0" fontId="39" fillId="46" borderId="2" xfId="51" applyFont="1" applyFill="1" applyBorder="1" applyAlignment="1">
      <alignment vertical="center" wrapText="1"/>
    </xf>
    <xf numFmtId="0" fontId="40" fillId="46" borderId="2" xfId="51" applyFont="1" applyFill="1" applyBorder="1" applyAlignment="1">
      <alignment vertical="center" wrapText="1"/>
    </xf>
    <xf numFmtId="0" fontId="40" fillId="46" borderId="2" xfId="51" applyFont="1" applyFill="1" applyBorder="1" applyAlignment="1">
      <alignment horizontal="center" vertical="center"/>
    </xf>
    <xf numFmtId="0" fontId="39" fillId="46" borderId="2" xfId="51" applyFont="1" applyFill="1" applyBorder="1" applyAlignment="1">
      <alignment horizontal="center" vertical="center"/>
    </xf>
    <xf numFmtId="166" fontId="39" fillId="46" borderId="2" xfId="51" applyNumberFormat="1" applyFont="1" applyFill="1" applyBorder="1" applyAlignment="1">
      <alignment horizontal="center" vertical="center"/>
    </xf>
    <xf numFmtId="0" fontId="7" fillId="46" borderId="2" xfId="51" applyFont="1" applyFill="1" applyBorder="1" applyAlignment="1">
      <alignment vertical="center" wrapText="1"/>
    </xf>
    <xf numFmtId="0" fontId="7" fillId="46" borderId="2" xfId="51" applyFont="1" applyFill="1" applyBorder="1" applyAlignment="1">
      <alignment vertical="top"/>
    </xf>
    <xf numFmtId="0" fontId="39" fillId="0" borderId="1" xfId="51" applyFont="1" applyFill="1" applyBorder="1" applyAlignment="1">
      <alignment horizontal="center" vertical="center" wrapText="1"/>
    </xf>
    <xf numFmtId="166" fontId="40" fillId="46" borderId="1" xfId="51" applyNumberFormat="1" applyFont="1" applyFill="1" applyBorder="1" applyAlignment="1">
      <alignment horizontal="center" vertical="top" wrapText="1"/>
    </xf>
    <xf numFmtId="166" fontId="39" fillId="46" borderId="1" xfId="51" applyNumberFormat="1" applyFont="1" applyFill="1" applyBorder="1" applyAlignment="1">
      <alignment horizontal="center" vertical="top" wrapText="1"/>
    </xf>
    <xf numFmtId="49" fontId="37" fillId="46" borderId="1" xfId="0" applyNumberFormat="1" applyFont="1" applyFill="1" applyBorder="1" applyAlignment="1">
      <alignment horizontal="center" vertical="center" wrapText="1"/>
    </xf>
    <xf numFmtId="49" fontId="7" fillId="46" borderId="1" xfId="0" applyNumberFormat="1" applyFont="1" applyFill="1" applyBorder="1" applyAlignment="1">
      <alignment horizontal="center" vertical="center" wrapText="1"/>
    </xf>
    <xf numFmtId="164" fontId="7" fillId="46" borderId="1" xfId="0" applyNumberFormat="1" applyFont="1" applyFill="1" applyBorder="1" applyAlignment="1">
      <alignment horizontal="right" vertical="top" wrapText="1"/>
    </xf>
    <xf numFmtId="164" fontId="40" fillId="46" borderId="1" xfId="51" applyNumberFormat="1" applyFont="1" applyFill="1" applyBorder="1" applyAlignment="1">
      <alignment horizontal="right" vertical="top" wrapText="1"/>
    </xf>
    <xf numFmtId="164" fontId="39" fillId="46" borderId="1" xfId="51" applyNumberFormat="1" applyFont="1" applyFill="1" applyBorder="1" applyAlignment="1">
      <alignment horizontal="right" vertical="top" wrapText="1"/>
    </xf>
    <xf numFmtId="0" fontId="40" fillId="46" borderId="1" xfId="51" applyFont="1" applyFill="1" applyBorder="1" applyAlignment="1">
      <alignment horizontal="center" vertical="center"/>
    </xf>
    <xf numFmtId="0" fontId="7" fillId="46" borderId="1" xfId="51" applyFont="1" applyFill="1" applyBorder="1" applyAlignment="1">
      <alignment vertical="top"/>
    </xf>
    <xf numFmtId="0" fontId="40" fillId="46" borderId="2" xfId="51" applyFont="1" applyFill="1" applyBorder="1" applyAlignment="1">
      <alignment horizontal="left" vertical="center" wrapText="1"/>
    </xf>
    <xf numFmtId="164" fontId="22" fillId="46" borderId="1" xfId="1" applyNumberFormat="1" applyFont="1" applyFill="1" applyBorder="1" applyAlignment="1">
      <alignment horizontal="center" vertical="top" wrapText="1"/>
    </xf>
    <xf numFmtId="49" fontId="21" fillId="46" borderId="1" xfId="4" applyNumberFormat="1" applyFont="1" applyFill="1" applyBorder="1" applyAlignment="1" applyProtection="1">
      <alignment horizontal="center" vertical="center" wrapText="1"/>
      <protection hidden="1"/>
    </xf>
    <xf numFmtId="166" fontId="21" fillId="46" borderId="1" xfId="4" applyNumberFormat="1" applyFont="1" applyFill="1" applyBorder="1" applyAlignment="1" applyProtection="1">
      <alignment horizontal="center" vertical="center" wrapText="1"/>
      <protection hidden="1"/>
    </xf>
    <xf numFmtId="0" fontId="2" fillId="46" borderId="1" xfId="0" applyFont="1" applyFill="1" applyBorder="1" applyAlignment="1">
      <alignment horizontal="center" vertical="center" wrapText="1"/>
    </xf>
    <xf numFmtId="166" fontId="21" fillId="0" borderId="1" xfId="4" applyNumberFormat="1" applyFont="1" applyBorder="1" applyAlignment="1" applyProtection="1">
      <alignment vertical="top"/>
      <protection locked="0"/>
    </xf>
    <xf numFmtId="9" fontId="21" fillId="46" borderId="3" xfId="56" applyFont="1" applyFill="1" applyBorder="1" applyAlignment="1">
      <alignment horizontal="center" vertical="center" wrapText="1"/>
    </xf>
    <xf numFmtId="9" fontId="21" fillId="46" borderId="34" xfId="56" applyFont="1" applyFill="1" applyBorder="1" applyAlignment="1">
      <alignment horizontal="center" vertical="center" wrapText="1"/>
    </xf>
    <xf numFmtId="164" fontId="21" fillId="46" borderId="34" xfId="1" applyNumberFormat="1" applyFont="1" applyFill="1" applyBorder="1" applyAlignment="1">
      <alignment horizontal="center" vertical="center" wrapText="1"/>
    </xf>
    <xf numFmtId="0" fontId="21" fillId="46" borderId="34" xfId="1" applyFont="1" applyFill="1" applyBorder="1" applyAlignment="1">
      <alignment horizontal="center" vertical="center" wrapText="1"/>
    </xf>
    <xf numFmtId="0" fontId="21" fillId="46" borderId="27" xfId="1" applyFont="1" applyFill="1" applyBorder="1" applyAlignment="1">
      <alignment horizontal="center" vertical="center" wrapText="1"/>
    </xf>
    <xf numFmtId="164" fontId="22" fillId="0" borderId="38" xfId="49" applyNumberFormat="1" applyFont="1" applyFill="1" applyBorder="1" applyAlignment="1" applyProtection="1">
      <alignment horizontal="center" vertical="center" wrapText="1"/>
      <protection locked="0"/>
    </xf>
    <xf numFmtId="164" fontId="22" fillId="0" borderId="39" xfId="49" applyNumberFormat="1" applyFont="1" applyFill="1" applyBorder="1" applyAlignment="1" applyProtection="1">
      <alignment horizontal="center" vertical="center" wrapText="1"/>
      <protection locked="0"/>
    </xf>
    <xf numFmtId="166" fontId="22" fillId="0" borderId="39" xfId="56" applyNumberFormat="1" applyFont="1" applyFill="1" applyBorder="1" applyAlignment="1" applyProtection="1">
      <alignment horizontal="center" vertical="center" wrapText="1"/>
      <protection locked="0"/>
    </xf>
    <xf numFmtId="0" fontId="21" fillId="0" borderId="39" xfId="1" applyFont="1" applyBorder="1" applyAlignment="1">
      <alignment horizontal="center" vertical="center" wrapText="1"/>
    </xf>
    <xf numFmtId="164" fontId="21" fillId="0" borderId="39" xfId="1" applyNumberFormat="1" applyFont="1" applyBorder="1" applyAlignment="1">
      <alignment horizontal="center" vertical="center" wrapText="1"/>
    </xf>
    <xf numFmtId="166" fontId="21" fillId="0" borderId="39" xfId="56" applyNumberFormat="1" applyFont="1" applyFill="1" applyBorder="1" applyAlignment="1">
      <alignment horizontal="center" vertical="center" wrapText="1"/>
    </xf>
    <xf numFmtId="0" fontId="22" fillId="3" borderId="39" xfId="1" applyFont="1" applyFill="1" applyBorder="1" applyAlignment="1">
      <alignment horizontal="center" vertical="center" wrapText="1"/>
    </xf>
    <xf numFmtId="164" fontId="22" fillId="3" borderId="39" xfId="1" applyNumberFormat="1" applyFont="1" applyFill="1" applyBorder="1" applyAlignment="1">
      <alignment horizontal="center" vertical="center" wrapText="1"/>
    </xf>
    <xf numFmtId="4" fontId="22" fillId="3" borderId="39" xfId="63" applyNumberFormat="1" applyFont="1" applyFill="1" applyBorder="1" applyAlignment="1">
      <alignment horizontal="center" vertical="center" wrapText="1"/>
    </xf>
    <xf numFmtId="4" fontId="22" fillId="3" borderId="39" xfId="0" applyNumberFormat="1" applyFont="1" applyFill="1" applyBorder="1" applyAlignment="1">
      <alignment horizontal="center" vertical="center"/>
    </xf>
    <xf numFmtId="166" fontId="22" fillId="3" borderId="39" xfId="56" applyNumberFormat="1" applyFont="1" applyFill="1" applyBorder="1" applyAlignment="1">
      <alignment horizontal="center" vertical="center" wrapText="1"/>
    </xf>
    <xf numFmtId="164" fontId="2" fillId="3" borderId="4" xfId="85" applyNumberFormat="1" applyFont="1" applyFill="1" applyBorder="1" applyAlignment="1">
      <alignment horizontal="center" vertical="center"/>
    </xf>
    <xf numFmtId="164" fontId="22" fillId="3" borderId="39" xfId="85" applyNumberFormat="1" applyFont="1" applyFill="1" applyBorder="1" applyAlignment="1" applyProtection="1">
      <alignment horizontal="center" vertical="center"/>
    </xf>
    <xf numFmtId="164" fontId="22" fillId="3" borderId="39" xfId="62" applyNumberFormat="1" applyFont="1" applyFill="1" applyBorder="1" applyAlignment="1">
      <alignment horizontal="center" vertical="center" wrapText="1"/>
    </xf>
    <xf numFmtId="4" fontId="2" fillId="3" borderId="39" xfId="0" applyNumberFormat="1" applyFont="1" applyFill="1" applyBorder="1" applyAlignment="1">
      <alignment horizontal="center" vertical="center" wrapText="1"/>
    </xf>
    <xf numFmtId="166" fontId="22" fillId="3" borderId="39" xfId="1" applyNumberFormat="1" applyFont="1" applyFill="1" applyBorder="1" applyAlignment="1">
      <alignment horizontal="center" vertical="center" wrapText="1"/>
    </xf>
    <xf numFmtId="4" fontId="2" fillId="3" borderId="39" xfId="0" applyNumberFormat="1" applyFont="1" applyFill="1" applyBorder="1" applyAlignment="1">
      <alignment horizontal="center" wrapText="1"/>
    </xf>
    <xf numFmtId="4" fontId="2" fillId="3" borderId="39" xfId="0" applyNumberFormat="1" applyFont="1" applyFill="1" applyBorder="1" applyAlignment="1">
      <alignment horizontal="center" vertical="center"/>
    </xf>
    <xf numFmtId="164" fontId="2" fillId="3" borderId="39" xfId="0" applyNumberFormat="1" applyFont="1" applyFill="1" applyBorder="1" applyAlignment="1">
      <alignment horizontal="center" vertical="center" wrapText="1"/>
    </xf>
    <xf numFmtId="4" fontId="2" fillId="3" borderId="39" xfId="85" applyNumberFormat="1" applyFont="1" applyFill="1" applyBorder="1" applyAlignment="1">
      <alignment horizontal="center" vertical="center"/>
    </xf>
    <xf numFmtId="164" fontId="2" fillId="3" borderId="39" xfId="85" applyNumberFormat="1" applyFont="1" applyFill="1" applyBorder="1" applyAlignment="1">
      <alignment horizontal="center" vertical="center" wrapText="1"/>
    </xf>
    <xf numFmtId="164" fontId="2" fillId="3" borderId="39" xfId="85" applyNumberFormat="1" applyFont="1" applyFill="1" applyBorder="1" applyAlignment="1">
      <alignment horizontal="center" vertical="center"/>
    </xf>
    <xf numFmtId="164" fontId="2" fillId="3" borderId="39" xfId="0" applyNumberFormat="1" applyFont="1" applyFill="1" applyBorder="1" applyAlignment="1">
      <alignment horizontal="center" vertical="center"/>
    </xf>
    <xf numFmtId="164" fontId="2" fillId="3" borderId="39" xfId="0" applyNumberFormat="1" applyFont="1" applyFill="1" applyBorder="1" applyAlignment="1">
      <alignment horizontal="center" wrapText="1"/>
    </xf>
    <xf numFmtId="4" fontId="2" fillId="3" borderId="4" xfId="85" applyNumberFormat="1" applyFont="1" applyFill="1" applyBorder="1" applyAlignment="1">
      <alignment horizontal="center" vertical="center"/>
    </xf>
    <xf numFmtId="164" fontId="22" fillId="3" borderId="4" xfId="85" applyNumberFormat="1" applyFont="1" applyFill="1" applyBorder="1" applyAlignment="1">
      <alignment horizontal="center" vertical="center"/>
    </xf>
    <xf numFmtId="4" fontId="2" fillId="3" borderId="4" xfId="85" applyNumberFormat="1" applyFont="1" applyFill="1" applyBorder="1" applyAlignment="1">
      <alignment horizontal="center" vertical="center" wrapText="1"/>
    </xf>
    <xf numFmtId="0" fontId="21" fillId="3" borderId="39" xfId="1" applyFont="1" applyFill="1" applyBorder="1" applyAlignment="1">
      <alignment horizontal="center" vertical="center" wrapText="1"/>
    </xf>
    <xf numFmtId="164" fontId="21" fillId="3" borderId="39" xfId="1" applyNumberFormat="1" applyFont="1" applyFill="1" applyBorder="1" applyAlignment="1">
      <alignment horizontal="center" vertical="center" wrapText="1"/>
    </xf>
    <xf numFmtId="164" fontId="21" fillId="3" borderId="39" xfId="0" applyNumberFormat="1" applyFont="1" applyFill="1" applyBorder="1" applyAlignment="1">
      <alignment horizontal="center" vertical="top"/>
    </xf>
    <xf numFmtId="166" fontId="21" fillId="3" borderId="39" xfId="56" applyNumberFormat="1" applyFont="1" applyFill="1" applyBorder="1" applyAlignment="1">
      <alignment horizontal="center" vertical="center" wrapText="1"/>
    </xf>
    <xf numFmtId="164" fontId="22" fillId="3" borderId="39" xfId="82" applyNumberFormat="1" applyFont="1" applyFill="1" applyBorder="1" applyAlignment="1">
      <alignment horizontal="center" vertical="top"/>
    </xf>
    <xf numFmtId="4" fontId="2" fillId="3" borderId="34" xfId="83" applyNumberFormat="1" applyFont="1" applyFill="1" applyBorder="1" applyAlignment="1">
      <alignment horizontal="center" vertical="center" wrapText="1"/>
    </xf>
    <xf numFmtId="164" fontId="22" fillId="41" borderId="39" xfId="84" applyNumberFormat="1" applyFont="1" applyFill="1" applyBorder="1" applyAlignment="1">
      <alignment horizontal="center" vertical="top"/>
    </xf>
    <xf numFmtId="164" fontId="2" fillId="3" borderId="39" xfId="82" applyNumberFormat="1" applyFont="1" applyFill="1" applyBorder="1" applyAlignment="1">
      <alignment horizontal="center" vertical="top"/>
    </xf>
    <xf numFmtId="164" fontId="22" fillId="3" borderId="39" xfId="84" applyNumberFormat="1" applyFont="1" applyFill="1" applyBorder="1" applyAlignment="1">
      <alignment horizontal="center" vertical="top"/>
    </xf>
    <xf numFmtId="4" fontId="22" fillId="3" borderId="39" xfId="82" applyNumberFormat="1" applyFont="1" applyFill="1" applyBorder="1" applyAlignment="1">
      <alignment horizontal="center" vertical="center" wrapText="1"/>
    </xf>
    <xf numFmtId="4" fontId="22" fillId="41" borderId="34" xfId="83" applyNumberFormat="1" applyFont="1" applyFill="1" applyBorder="1" applyAlignment="1">
      <alignment horizontal="center" vertical="center" wrapText="1"/>
    </xf>
    <xf numFmtId="4" fontId="22" fillId="41" borderId="39" xfId="84" applyNumberFormat="1" applyFont="1" applyFill="1" applyBorder="1" applyAlignment="1">
      <alignment horizontal="center" vertical="center" wrapText="1"/>
    </xf>
    <xf numFmtId="166" fontId="2" fillId="3" borderId="39" xfId="0" applyNumberFormat="1" applyFont="1" applyFill="1" applyBorder="1" applyAlignment="1">
      <alignment horizontal="center" vertical="top"/>
    </xf>
    <xf numFmtId="4" fontId="22" fillId="41" borderId="39" xfId="82" applyNumberFormat="1" applyFont="1" applyFill="1" applyBorder="1" applyAlignment="1">
      <alignment horizontal="center" vertical="center" wrapText="1"/>
    </xf>
    <xf numFmtId="164" fontId="2" fillId="3" borderId="39" xfId="0" applyNumberFormat="1" applyFont="1" applyFill="1" applyBorder="1" applyAlignment="1">
      <alignment horizontal="center" vertical="top"/>
    </xf>
    <xf numFmtId="0" fontId="2" fillId="3" borderId="39" xfId="0" applyFont="1" applyFill="1" applyBorder="1" applyAlignment="1">
      <alignment horizontal="center" vertical="center" wrapText="1"/>
    </xf>
    <xf numFmtId="164" fontId="22" fillId="3" borderId="39" xfId="82" applyNumberFormat="1" applyFont="1" applyFill="1" applyBorder="1" applyAlignment="1">
      <alignment horizontal="center" vertical="top" wrapText="1"/>
    </xf>
    <xf numFmtId="4" fontId="22" fillId="3" borderId="34" xfId="83" applyNumberFormat="1" applyFont="1" applyFill="1" applyBorder="1" applyAlignment="1">
      <alignment horizontal="center" vertical="center" wrapText="1"/>
    </xf>
    <xf numFmtId="164" fontId="22" fillId="41" borderId="39" xfId="82" applyNumberFormat="1" applyFont="1" applyFill="1" applyBorder="1" applyAlignment="1">
      <alignment horizontal="center" vertical="top"/>
    </xf>
    <xf numFmtId="164" fontId="22" fillId="3" borderId="39" xfId="0" applyNumberFormat="1" applyFont="1" applyFill="1" applyBorder="1" applyAlignment="1">
      <alignment horizontal="center" vertical="top"/>
    </xf>
    <xf numFmtId="0" fontId="2" fillId="3" borderId="42" xfId="0" applyFont="1" applyFill="1" applyBorder="1" applyAlignment="1">
      <alignment horizontal="center" vertical="center" wrapText="1"/>
    </xf>
    <xf numFmtId="164" fontId="64" fillId="3" borderId="34" xfId="1" applyNumberFormat="1" applyFont="1" applyFill="1" applyBorder="1" applyAlignment="1">
      <alignment horizontal="center" wrapText="1"/>
    </xf>
    <xf numFmtId="166" fontId="64" fillId="3" borderId="39" xfId="0" applyNumberFormat="1" applyFont="1" applyFill="1" applyBorder="1" applyAlignment="1">
      <alignment horizontal="center"/>
    </xf>
    <xf numFmtId="164" fontId="2" fillId="3" borderId="39" xfId="51" applyNumberFormat="1" applyFont="1" applyFill="1" applyBorder="1" applyAlignment="1">
      <alignment horizontal="center" wrapText="1"/>
    </xf>
    <xf numFmtId="164" fontId="82" fillId="50" borderId="39" xfId="79" applyNumberFormat="1" applyFont="1" applyFill="1" applyBorder="1" applyAlignment="1">
      <alignment horizontal="center" vertical="center" wrapText="1"/>
    </xf>
    <xf numFmtId="164" fontId="82" fillId="51" borderId="39" xfId="79" applyNumberFormat="1" applyFont="1" applyFill="1" applyBorder="1" applyAlignment="1">
      <alignment horizontal="center" vertical="center" wrapText="1"/>
    </xf>
    <xf numFmtId="164" fontId="2" fillId="3" borderId="34" xfId="1" applyNumberFormat="1" applyFont="1" applyFill="1" applyBorder="1" applyAlignment="1">
      <alignment horizontal="center" wrapText="1"/>
    </xf>
    <xf numFmtId="166" fontId="2" fillId="3" borderId="39" xfId="0" applyNumberFormat="1" applyFont="1" applyFill="1" applyBorder="1" applyAlignment="1">
      <alignment horizontal="center"/>
    </xf>
    <xf numFmtId="164" fontId="82" fillId="41" borderId="39" xfId="79" applyNumberFormat="1" applyFont="1" applyFill="1" applyBorder="1" applyAlignment="1">
      <alignment horizontal="center" vertical="center" wrapText="1"/>
    </xf>
    <xf numFmtId="164" fontId="2" fillId="50" borderId="39" xfId="76" applyNumberFormat="1" applyFont="1" applyFill="1" applyBorder="1" applyAlignment="1">
      <alignment horizontal="center" wrapText="1"/>
    </xf>
    <xf numFmtId="164" fontId="2" fillId="51" borderId="39" xfId="76" applyNumberFormat="1" applyFont="1" applyFill="1" applyBorder="1" applyAlignment="1">
      <alignment horizontal="center" wrapText="1"/>
    </xf>
    <xf numFmtId="0" fontId="64" fillId="3" borderId="39" xfId="1" applyFont="1" applyFill="1" applyBorder="1" applyAlignment="1">
      <alignment horizontal="center" vertical="center" wrapText="1"/>
    </xf>
    <xf numFmtId="166" fontId="64" fillId="3" borderId="39" xfId="51" applyNumberFormat="1" applyFont="1" applyFill="1" applyBorder="1" applyAlignment="1">
      <alignment horizontal="center"/>
    </xf>
    <xf numFmtId="0" fontId="2" fillId="3" borderId="39" xfId="1" applyFont="1" applyFill="1" applyBorder="1" applyAlignment="1">
      <alignment horizontal="center" vertical="center" wrapText="1"/>
    </xf>
    <xf numFmtId="164" fontId="82" fillId="41" borderId="39" xfId="78" applyNumberFormat="1" applyFont="1" applyFill="1" applyBorder="1" applyAlignment="1">
      <alignment horizontal="center" vertical="center" wrapText="1"/>
    </xf>
    <xf numFmtId="164" fontId="82" fillId="51" borderId="34" xfId="78" applyNumberFormat="1" applyFont="1" applyFill="1" applyBorder="1" applyAlignment="1">
      <alignment horizontal="center" vertical="center" wrapText="1"/>
    </xf>
    <xf numFmtId="166" fontId="2" fillId="3" borderId="39" xfId="51" applyNumberFormat="1" applyFont="1" applyFill="1" applyBorder="1" applyAlignment="1">
      <alignment horizontal="center"/>
    </xf>
    <xf numFmtId="164" fontId="82" fillId="51" borderId="39" xfId="78" applyNumberFormat="1" applyFont="1" applyFill="1" applyBorder="1" applyAlignment="1">
      <alignment horizontal="center" vertical="center" wrapText="1"/>
    </xf>
    <xf numFmtId="164" fontId="64" fillId="3" borderId="39" xfId="51" applyNumberFormat="1" applyFont="1" applyFill="1" applyBorder="1" applyAlignment="1">
      <alignment horizontal="center" wrapText="1"/>
    </xf>
    <xf numFmtId="166" fontId="64" fillId="3" borderId="39" xfId="51" applyNumberFormat="1" applyFont="1" applyFill="1" applyBorder="1" applyAlignment="1">
      <alignment horizontal="center" wrapText="1"/>
    </xf>
    <xf numFmtId="166" fontId="2" fillId="3" borderId="39" xfId="51" applyNumberFormat="1" applyFont="1" applyFill="1" applyBorder="1" applyAlignment="1">
      <alignment horizontal="center" wrapText="1"/>
    </xf>
    <xf numFmtId="0" fontId="46" fillId="3" borderId="38" xfId="51" applyFont="1" applyFill="1" applyBorder="1" applyAlignment="1">
      <alignment horizontal="center"/>
    </xf>
    <xf numFmtId="0" fontId="46" fillId="3" borderId="3" xfId="51" applyFont="1" applyFill="1" applyBorder="1" applyAlignment="1">
      <alignment horizontal="center"/>
    </xf>
    <xf numFmtId="164" fontId="82" fillId="41" borderId="39" xfId="80" applyNumberFormat="1" applyFont="1" applyFill="1" applyBorder="1" applyAlignment="1">
      <alignment horizontal="center" vertical="center" wrapText="1"/>
    </xf>
    <xf numFmtId="0" fontId="46" fillId="3" borderId="3" xfId="51" applyFont="1" applyFill="1" applyBorder="1" applyAlignment="1">
      <alignment horizontal="center" vertical="center"/>
    </xf>
    <xf numFmtId="0" fontId="46" fillId="3" borderId="34" xfId="51" applyFont="1" applyFill="1" applyBorder="1" applyAlignment="1">
      <alignment horizontal="center"/>
    </xf>
    <xf numFmtId="164" fontId="64" fillId="3" borderId="39" xfId="0" applyNumberFormat="1" applyFont="1" applyFill="1" applyBorder="1" applyAlignment="1">
      <alignment vertical="center" wrapText="1"/>
    </xf>
    <xf numFmtId="164" fontId="2" fillId="3" borderId="39" xfId="0" applyNumberFormat="1" applyFont="1" applyFill="1" applyBorder="1" applyAlignment="1">
      <alignment vertical="center" wrapText="1"/>
    </xf>
    <xf numFmtId="0" fontId="35" fillId="3" borderId="0" xfId="0" applyFont="1" applyFill="1" applyAlignment="1">
      <alignment horizontal="center"/>
    </xf>
    <xf numFmtId="166" fontId="2" fillId="3" borderId="39" xfId="0" applyNumberFormat="1" applyFont="1" applyFill="1" applyBorder="1" applyAlignment="1">
      <alignment horizontal="center" vertical="center"/>
    </xf>
    <xf numFmtId="164" fontId="62" fillId="3" borderId="39" xfId="0" applyNumberFormat="1" applyFont="1" applyFill="1" applyBorder="1" applyAlignment="1">
      <alignment horizontal="center" vertical="center"/>
    </xf>
    <xf numFmtId="166" fontId="62" fillId="3" borderId="39" xfId="56" applyNumberFormat="1" applyFont="1" applyFill="1" applyBorder="1" applyAlignment="1">
      <alignment horizontal="center" vertical="center" wrapText="1"/>
    </xf>
    <xf numFmtId="164" fontId="22" fillId="3" borderId="39" xfId="0" applyNumberFormat="1" applyFont="1" applyFill="1" applyBorder="1" applyAlignment="1">
      <alignment horizontal="center" vertical="center"/>
    </xf>
    <xf numFmtId="0" fontId="21" fillId="3" borderId="39" xfId="0" applyFont="1" applyFill="1" applyBorder="1" applyAlignment="1">
      <alignment horizontal="center"/>
    </xf>
    <xf numFmtId="164" fontId="21" fillId="3" borderId="39" xfId="0" applyNumberFormat="1" applyFont="1" applyFill="1" applyBorder="1" applyAlignment="1">
      <alignment horizontal="center" vertical="center"/>
    </xf>
    <xf numFmtId="166" fontId="21" fillId="3" borderId="39" xfId="0" applyNumberFormat="1" applyFont="1" applyFill="1" applyBorder="1" applyAlignment="1">
      <alignment horizontal="center" vertical="center"/>
    </xf>
    <xf numFmtId="0" fontId="22" fillId="3" borderId="39" xfId="0" applyFont="1" applyFill="1" applyBorder="1" applyAlignment="1">
      <alignment horizontal="center"/>
    </xf>
    <xf numFmtId="166" fontId="22" fillId="3" borderId="39" xfId="0" applyNumberFormat="1" applyFont="1" applyFill="1" applyBorder="1" applyAlignment="1">
      <alignment horizontal="center" vertical="center"/>
    </xf>
    <xf numFmtId="0" fontId="73" fillId="3" borderId="39" xfId="0" applyFont="1" applyFill="1" applyBorder="1" applyAlignment="1">
      <alignment horizontal="center" vertical="center"/>
    </xf>
    <xf numFmtId="4" fontId="21" fillId="3" borderId="39" xfId="0" applyNumberFormat="1" applyFont="1" applyFill="1" applyBorder="1" applyAlignment="1">
      <alignment horizontal="center" vertical="center"/>
    </xf>
    <xf numFmtId="166" fontId="21" fillId="3" borderId="39" xfId="0" applyNumberFormat="1" applyFont="1" applyFill="1" applyBorder="1" applyAlignment="1">
      <alignment horizontal="center" vertical="center" wrapText="1"/>
    </xf>
    <xf numFmtId="0" fontId="59" fillId="3" borderId="39" xfId="0" applyFont="1" applyFill="1" applyBorder="1" applyAlignment="1">
      <alignment horizontal="center" vertical="center"/>
    </xf>
    <xf numFmtId="2" fontId="22" fillId="3" borderId="39" xfId="0" applyNumberFormat="1" applyFont="1" applyFill="1" applyBorder="1" applyAlignment="1">
      <alignment horizontal="center" vertical="center"/>
    </xf>
    <xf numFmtId="166" fontId="22" fillId="3" borderId="39" xfId="0" applyNumberFormat="1" applyFont="1" applyFill="1" applyBorder="1" applyAlignment="1">
      <alignment horizontal="center" vertical="center" wrapText="1"/>
    </xf>
    <xf numFmtId="4" fontId="22" fillId="3" borderId="39" xfId="0" applyNumberFormat="1" applyFont="1" applyFill="1" applyBorder="1" applyAlignment="1">
      <alignment horizontal="center" vertical="center" wrapText="1"/>
    </xf>
    <xf numFmtId="0" fontId="2" fillId="3" borderId="39" xfId="0" applyFont="1" applyFill="1" applyBorder="1" applyAlignment="1">
      <alignment horizontal="center" vertical="center"/>
    </xf>
    <xf numFmtId="166" fontId="2" fillId="3" borderId="39" xfId="0" applyNumberFormat="1" applyFont="1" applyFill="1" applyBorder="1" applyAlignment="1">
      <alignment horizontal="center" wrapText="1"/>
    </xf>
    <xf numFmtId="164" fontId="59" fillId="3" borderId="39" xfId="0" applyNumberFormat="1" applyFont="1" applyFill="1" applyBorder="1" applyAlignment="1">
      <alignment horizontal="center" vertical="center" wrapText="1"/>
    </xf>
    <xf numFmtId="166" fontId="2" fillId="3" borderId="39" xfId="0" applyNumberFormat="1" applyFont="1" applyFill="1" applyBorder="1" applyAlignment="1">
      <alignment horizontal="center" vertical="center" wrapText="1"/>
    </xf>
    <xf numFmtId="0" fontId="2" fillId="3" borderId="39" xfId="0" applyFont="1" applyFill="1" applyBorder="1" applyAlignment="1">
      <alignment horizontal="center"/>
    </xf>
    <xf numFmtId="164" fontId="59" fillId="3" borderId="39" xfId="0" applyNumberFormat="1" applyFont="1" applyFill="1" applyBorder="1" applyAlignment="1">
      <alignment horizontal="center" wrapText="1"/>
    </xf>
    <xf numFmtId="164" fontId="22" fillId="3" borderId="39" xfId="0" applyNumberFormat="1" applyFont="1" applyFill="1" applyBorder="1" applyAlignment="1">
      <alignment horizontal="center" wrapText="1"/>
    </xf>
    <xf numFmtId="0" fontId="64" fillId="3" borderId="39" xfId="0" applyFont="1" applyFill="1" applyBorder="1" applyAlignment="1">
      <alignment horizontal="center" vertical="center"/>
    </xf>
    <xf numFmtId="164" fontId="64" fillId="3" borderId="39" xfId="0" applyNumberFormat="1" applyFont="1" applyFill="1" applyBorder="1" applyAlignment="1">
      <alignment horizontal="center" vertical="center" wrapText="1"/>
    </xf>
    <xf numFmtId="166" fontId="64" fillId="3" borderId="39" xfId="0" applyNumberFormat="1" applyFont="1" applyFill="1" applyBorder="1" applyAlignment="1">
      <alignment horizontal="center" vertical="center" wrapText="1"/>
    </xf>
    <xf numFmtId="0" fontId="21" fillId="46" borderId="39" xfId="1" applyFont="1" applyFill="1" applyBorder="1" applyAlignment="1">
      <alignment horizontal="center" vertical="center" wrapText="1"/>
    </xf>
    <xf numFmtId="164" fontId="21" fillId="46" borderId="39" xfId="1" applyNumberFormat="1" applyFont="1" applyFill="1" applyBorder="1" applyAlignment="1">
      <alignment horizontal="center" vertical="center" wrapText="1"/>
    </xf>
    <xf numFmtId="166" fontId="21" fillId="46" borderId="39" xfId="56" applyNumberFormat="1" applyFont="1" applyFill="1" applyBorder="1" applyAlignment="1">
      <alignment horizontal="center" vertical="center" wrapText="1"/>
    </xf>
    <xf numFmtId="0" fontId="22" fillId="46" borderId="39" xfId="1" applyFont="1" applyFill="1" applyBorder="1" applyAlignment="1">
      <alignment horizontal="center" vertical="center" wrapText="1"/>
    </xf>
    <xf numFmtId="164" fontId="22" fillId="46" borderId="39" xfId="1" applyNumberFormat="1" applyFont="1" applyFill="1" applyBorder="1" applyAlignment="1">
      <alignment horizontal="center" vertical="center" wrapText="1"/>
    </xf>
    <xf numFmtId="166" fontId="22" fillId="46" borderId="39" xfId="56" applyNumberFormat="1" applyFont="1" applyFill="1" applyBorder="1" applyAlignment="1">
      <alignment horizontal="center" vertical="center" wrapText="1"/>
    </xf>
    <xf numFmtId="4" fontId="21" fillId="46" borderId="39" xfId="1" applyNumberFormat="1" applyFont="1" applyFill="1" applyBorder="1" applyAlignment="1">
      <alignment horizontal="center" vertical="center" wrapText="1"/>
    </xf>
    <xf numFmtId="4" fontId="22" fillId="46" borderId="39" xfId="1" applyNumberFormat="1" applyFont="1" applyFill="1" applyBorder="1" applyAlignment="1">
      <alignment horizontal="center" vertical="center" wrapText="1"/>
    </xf>
    <xf numFmtId="164" fontId="22" fillId="41" borderId="39" xfId="0" applyNumberFormat="1" applyFont="1" applyFill="1" applyBorder="1" applyAlignment="1">
      <alignment horizontal="center" vertical="center"/>
    </xf>
    <xf numFmtId="0" fontId="79" fillId="3" borderId="39" xfId="0" applyFont="1" applyFill="1" applyBorder="1" applyAlignment="1">
      <alignment horizontal="center" vertical="center"/>
    </xf>
    <xf numFmtId="164" fontId="79" fillId="3" borderId="39" xfId="0" applyNumberFormat="1" applyFont="1" applyFill="1" applyBorder="1" applyAlignment="1">
      <alignment horizontal="center" vertical="center"/>
    </xf>
    <xf numFmtId="0" fontId="22" fillId="3" borderId="39" xfId="0" applyFont="1" applyFill="1" applyBorder="1" applyAlignment="1">
      <alignment horizontal="center" vertical="center"/>
    </xf>
    <xf numFmtId="0" fontId="79" fillId="52" borderId="39" xfId="1" applyFont="1" applyFill="1" applyBorder="1" applyAlignment="1">
      <alignment horizontal="center" vertical="center" wrapText="1"/>
    </xf>
    <xf numFmtId="164" fontId="79" fillId="52" borderId="39" xfId="1" applyNumberFormat="1" applyFont="1" applyFill="1" applyBorder="1" applyAlignment="1">
      <alignment horizontal="center" vertical="center" wrapText="1"/>
    </xf>
    <xf numFmtId="0" fontId="22" fillId="41" borderId="39" xfId="0" applyFont="1" applyFill="1" applyBorder="1" applyAlignment="1">
      <alignment horizontal="center" vertical="center"/>
    </xf>
    <xf numFmtId="164" fontId="22" fillId="41" borderId="39" xfId="1" applyNumberFormat="1" applyFont="1" applyFill="1" applyBorder="1" applyAlignment="1">
      <alignment horizontal="center" vertical="center" wrapText="1"/>
    </xf>
    <xf numFmtId="164" fontId="22" fillId="3" borderId="39" xfId="1" applyNumberFormat="1" applyFont="1" applyFill="1" applyBorder="1" applyAlignment="1">
      <alignment vertical="center" wrapText="1"/>
    </xf>
    <xf numFmtId="164" fontId="79" fillId="52" borderId="39" xfId="0" applyNumberFormat="1" applyFont="1" applyFill="1" applyBorder="1" applyAlignment="1">
      <alignment horizontal="center" vertical="center"/>
    </xf>
    <xf numFmtId="0" fontId="79" fillId="52" borderId="39" xfId="0" applyFont="1" applyFill="1" applyBorder="1" applyAlignment="1">
      <alignment horizontal="center" vertical="center"/>
    </xf>
    <xf numFmtId="164" fontId="22" fillId="3" borderId="39" xfId="0" applyNumberFormat="1" applyFont="1" applyFill="1" applyBorder="1" applyAlignment="1">
      <alignment horizontal="center" vertical="center" wrapText="1"/>
    </xf>
    <xf numFmtId="164" fontId="22" fillId="41" borderId="39" xfId="0" applyNumberFormat="1" applyFont="1" applyFill="1" applyBorder="1" applyAlignment="1">
      <alignment horizontal="center" vertical="center" wrapText="1"/>
    </xf>
    <xf numFmtId="0" fontId="79" fillId="53" borderId="39" xfId="0" applyFont="1" applyFill="1" applyBorder="1" applyAlignment="1">
      <alignment horizontal="center" vertical="center"/>
    </xf>
    <xf numFmtId="164" fontId="79" fillId="53" borderId="39" xfId="0" applyNumberFormat="1" applyFont="1" applyFill="1" applyBorder="1" applyAlignment="1">
      <alignment horizontal="center" vertical="center"/>
    </xf>
    <xf numFmtId="164" fontId="23" fillId="0" borderId="39" xfId="0" applyNumberFormat="1" applyFont="1" applyFill="1" applyBorder="1" applyAlignment="1">
      <alignment horizontal="center" vertical="center" wrapText="1"/>
    </xf>
    <xf numFmtId="164" fontId="22" fillId="0" borderId="39" xfId="0" applyNumberFormat="1" applyFont="1" applyFill="1" applyBorder="1" applyAlignment="1">
      <alignment horizontal="center" vertical="center"/>
    </xf>
    <xf numFmtId="164" fontId="22" fillId="3" borderId="39" xfId="87" applyNumberFormat="1" applyFont="1" applyFill="1" applyBorder="1" applyAlignment="1">
      <alignment horizontal="center" vertical="center"/>
    </xf>
    <xf numFmtId="164" fontId="21" fillId="46" borderId="39" xfId="1" applyNumberFormat="1" applyFont="1" applyFill="1" applyBorder="1" applyAlignment="1">
      <alignment horizontal="center" vertical="center"/>
    </xf>
    <xf numFmtId="166" fontId="21" fillId="46" borderId="39" xfId="56" applyNumberFormat="1" applyFont="1" applyFill="1" applyBorder="1" applyAlignment="1">
      <alignment horizontal="center" vertical="center"/>
    </xf>
    <xf numFmtId="164" fontId="22" fillId="46" borderId="39" xfId="1" applyNumberFormat="1" applyFont="1" applyFill="1" applyBorder="1" applyAlignment="1">
      <alignment horizontal="center" vertical="center"/>
    </xf>
    <xf numFmtId="166" fontId="22" fillId="46" borderId="39" xfId="56" applyNumberFormat="1" applyFont="1" applyFill="1" applyBorder="1" applyAlignment="1">
      <alignment horizontal="center" vertical="center"/>
    </xf>
    <xf numFmtId="0" fontId="22" fillId="46" borderId="38" xfId="1" applyFont="1" applyFill="1" applyBorder="1" applyAlignment="1">
      <alignment horizontal="center" vertical="center" wrapText="1"/>
    </xf>
    <xf numFmtId="164" fontId="22" fillId="46" borderId="38" xfId="1" applyNumberFormat="1" applyFont="1" applyFill="1" applyBorder="1" applyAlignment="1">
      <alignment horizontal="center" vertical="center"/>
    </xf>
    <xf numFmtId="166" fontId="22" fillId="46" borderId="38" xfId="56" applyNumberFormat="1" applyFont="1" applyFill="1" applyBorder="1" applyAlignment="1">
      <alignment horizontal="center" vertical="center"/>
    </xf>
    <xf numFmtId="0" fontId="52" fillId="5" borderId="1" xfId="4" applyFont="1" applyFill="1" applyBorder="1" applyAlignment="1" applyProtection="1">
      <alignment horizontal="left" vertical="top" wrapText="1"/>
      <protection hidden="1"/>
    </xf>
    <xf numFmtId="0" fontId="52" fillId="46" borderId="1" xfId="4" applyFont="1" applyFill="1" applyBorder="1" applyAlignment="1" applyProtection="1">
      <alignment horizontal="left" vertical="center" wrapText="1"/>
      <protection hidden="1"/>
    </xf>
    <xf numFmtId="0" fontId="52" fillId="5" borderId="6" xfId="4" applyFont="1" applyFill="1" applyBorder="1" applyAlignment="1" applyProtection="1">
      <alignment horizontal="left" vertical="top" wrapText="1"/>
      <protection hidden="1"/>
    </xf>
    <xf numFmtId="0" fontId="52" fillId="5" borderId="7" xfId="4" applyFont="1" applyFill="1" applyBorder="1" applyAlignment="1" applyProtection="1">
      <alignment horizontal="left" vertical="top" wrapText="1"/>
      <protection hidden="1"/>
    </xf>
    <xf numFmtId="0" fontId="52" fillId="5" borderId="4" xfId="4" applyFont="1" applyFill="1" applyBorder="1" applyAlignment="1" applyProtection="1">
      <alignment horizontal="left" vertical="top" wrapText="1"/>
      <protection hidden="1"/>
    </xf>
    <xf numFmtId="0" fontId="52" fillId="46" borderId="1" xfId="4" applyFont="1" applyFill="1" applyBorder="1" applyAlignment="1" applyProtection="1">
      <alignment horizontal="left" vertical="top" wrapText="1"/>
      <protection hidden="1"/>
    </xf>
    <xf numFmtId="0" fontId="63" fillId="0" borderId="0" xfId="4" applyFont="1" applyAlignment="1" applyProtection="1">
      <alignment horizontal="center" vertical="top" wrapText="1"/>
      <protection hidden="1"/>
    </xf>
    <xf numFmtId="49" fontId="22" fillId="0" borderId="1" xfId="4" applyNumberFormat="1" applyFont="1" applyFill="1" applyBorder="1" applyAlignment="1" applyProtection="1">
      <alignment horizontal="center" vertical="center" wrapText="1"/>
      <protection hidden="1"/>
    </xf>
    <xf numFmtId="0" fontId="22" fillId="0" borderId="2" xfId="4" applyFont="1" applyFill="1" applyBorder="1" applyAlignment="1" applyProtection="1">
      <alignment horizontal="center" vertical="center" wrapText="1"/>
      <protection hidden="1"/>
    </xf>
    <xf numFmtId="0" fontId="22" fillId="0" borderId="5" xfId="4" applyFont="1" applyFill="1" applyBorder="1" applyAlignment="1" applyProtection="1">
      <alignment horizontal="center" vertical="center" wrapText="1"/>
      <protection hidden="1"/>
    </xf>
    <xf numFmtId="0" fontId="22" fillId="0" borderId="1" xfId="4" applyFont="1" applyFill="1" applyBorder="1" applyAlignment="1" applyProtection="1">
      <alignment horizontal="center" vertical="center" wrapText="1"/>
      <protection hidden="1"/>
    </xf>
    <xf numFmtId="0" fontId="53" fillId="0" borderId="1" xfId="4" applyFont="1" applyFill="1" applyBorder="1" applyAlignment="1" applyProtection="1">
      <alignment horizontal="center" vertical="center" wrapText="1"/>
      <protection hidden="1"/>
    </xf>
    <xf numFmtId="0" fontId="21" fillId="0" borderId="6" xfId="4" applyFont="1" applyFill="1" applyBorder="1" applyAlignment="1" applyProtection="1">
      <alignment horizontal="center" vertical="center" wrapText="1"/>
      <protection hidden="1"/>
    </xf>
    <xf numFmtId="0" fontId="21" fillId="0" borderId="4" xfId="4" applyFont="1" applyFill="1" applyBorder="1" applyAlignment="1" applyProtection="1">
      <alignment horizontal="center" vertical="center" wrapText="1"/>
      <protection hidden="1"/>
    </xf>
    <xf numFmtId="0" fontId="22" fillId="0" borderId="1" xfId="1" applyFont="1" applyFill="1" applyBorder="1" applyAlignment="1" applyProtection="1">
      <alignment horizontal="center" vertical="center" wrapText="1"/>
      <protection hidden="1"/>
    </xf>
    <xf numFmtId="0" fontId="22" fillId="0" borderId="1" xfId="4" applyFont="1" applyFill="1" applyBorder="1" applyAlignment="1" applyProtection="1">
      <alignment horizontal="center" vertical="top" wrapText="1"/>
      <protection hidden="1"/>
    </xf>
    <xf numFmtId="0" fontId="22" fillId="0" borderId="1" xfId="4" applyFont="1" applyFill="1" applyBorder="1" applyAlignment="1">
      <alignment horizontal="center" vertical="top" wrapText="1"/>
    </xf>
    <xf numFmtId="0" fontId="22" fillId="3" borderId="1" xfId="4" applyFont="1" applyFill="1" applyBorder="1" applyAlignment="1" applyProtection="1">
      <alignment horizontal="center" vertical="center" wrapText="1"/>
      <protection hidden="1"/>
    </xf>
    <xf numFmtId="0" fontId="22" fillId="3" borderId="1" xfId="1" applyFont="1" applyFill="1" applyBorder="1" applyAlignment="1" applyProtection="1">
      <alignment horizontal="center" vertical="center" wrapText="1"/>
      <protection hidden="1"/>
    </xf>
    <xf numFmtId="0" fontId="52" fillId="46" borderId="6" xfId="4" applyFont="1" applyFill="1" applyBorder="1" applyAlignment="1" applyProtection="1">
      <alignment horizontal="left" vertical="top" wrapText="1"/>
      <protection hidden="1"/>
    </xf>
    <xf numFmtId="0" fontId="52" fillId="46" borderId="7" xfId="4" applyFont="1" applyFill="1" applyBorder="1" applyAlignment="1" applyProtection="1">
      <alignment horizontal="left" vertical="top" wrapText="1"/>
      <protection hidden="1"/>
    </xf>
    <xf numFmtId="0" fontId="52" fillId="46" borderId="4" xfId="4" applyFont="1" applyFill="1" applyBorder="1" applyAlignment="1" applyProtection="1">
      <alignment horizontal="left" vertical="top" wrapText="1"/>
      <protection hidden="1"/>
    </xf>
    <xf numFmtId="0" fontId="52" fillId="5" borderId="25" xfId="4" applyFont="1" applyFill="1" applyBorder="1" applyAlignment="1" applyProtection="1">
      <alignment horizontal="left" vertical="top" wrapText="1"/>
      <protection hidden="1"/>
    </xf>
    <xf numFmtId="0" fontId="52" fillId="5" borderId="9" xfId="4" applyFont="1" applyFill="1" applyBorder="1" applyAlignment="1" applyProtection="1">
      <alignment horizontal="left" vertical="top" wrapText="1"/>
      <protection hidden="1"/>
    </xf>
    <xf numFmtId="0" fontId="52" fillId="5" borderId="26" xfId="4" applyFont="1" applyFill="1" applyBorder="1" applyAlignment="1" applyProtection="1">
      <alignment horizontal="left" vertical="top" wrapText="1"/>
      <protection hidden="1"/>
    </xf>
    <xf numFmtId="49" fontId="2" fillId="0" borderId="0" xfId="4" applyNumberFormat="1" applyFont="1" applyFill="1" applyBorder="1" applyAlignment="1">
      <alignment horizontal="left" vertical="top"/>
    </xf>
    <xf numFmtId="49" fontId="2" fillId="0" borderId="0" xfId="4" applyNumberFormat="1" applyFont="1" applyFill="1" applyBorder="1" applyAlignment="1">
      <alignment horizontal="left" vertical="top" wrapText="1"/>
    </xf>
    <xf numFmtId="2" fontId="21" fillId="5" borderId="6" xfId="4" applyNumberFormat="1" applyFont="1" applyFill="1" applyBorder="1" applyAlignment="1" applyProtection="1">
      <alignment horizontal="left" vertical="top" wrapText="1"/>
      <protection hidden="1"/>
    </xf>
    <xf numFmtId="2" fontId="21" fillId="5" borderId="7" xfId="4" applyNumberFormat="1" applyFont="1" applyFill="1" applyBorder="1" applyAlignment="1" applyProtection="1">
      <alignment horizontal="left" vertical="top" wrapText="1"/>
      <protection hidden="1"/>
    </xf>
    <xf numFmtId="166" fontId="39" fillId="0" borderId="38" xfId="51" applyNumberFormat="1" applyFont="1" applyFill="1" applyBorder="1" applyAlignment="1">
      <alignment horizontal="center" vertical="center"/>
    </xf>
    <xf numFmtId="166" fontId="39" fillId="0" borderId="3" xfId="51" applyNumberFormat="1" applyFont="1" applyFill="1" applyBorder="1" applyAlignment="1">
      <alignment horizontal="center" vertical="center"/>
    </xf>
    <xf numFmtId="166" fontId="39" fillId="0" borderId="34" xfId="51" applyNumberFormat="1" applyFont="1" applyFill="1" applyBorder="1" applyAlignment="1">
      <alignment horizontal="center" vertical="center"/>
    </xf>
    <xf numFmtId="0" fontId="39" fillId="0" borderId="38" xfId="51" applyFont="1" applyFill="1" applyBorder="1" applyAlignment="1">
      <alignment horizontal="left" vertical="center" wrapText="1"/>
    </xf>
    <xf numFmtId="0" fontId="39" fillId="0" borderId="3" xfId="51" applyFont="1" applyFill="1" applyBorder="1" applyAlignment="1">
      <alignment horizontal="left" vertical="center" wrapText="1"/>
    </xf>
    <xf numFmtId="0" fontId="39" fillId="0" borderId="34" xfId="51" applyFont="1" applyFill="1" applyBorder="1" applyAlignment="1">
      <alignment horizontal="left" vertical="center" wrapText="1"/>
    </xf>
    <xf numFmtId="0" fontId="39" fillId="0" borderId="38" xfId="51" applyFont="1" applyFill="1" applyBorder="1" applyAlignment="1">
      <alignment horizontal="left" vertical="top" wrapText="1"/>
    </xf>
    <xf numFmtId="0" fontId="39" fillId="0" borderId="3" xfId="51" applyFont="1" applyFill="1" applyBorder="1" applyAlignment="1">
      <alignment horizontal="left" vertical="top" wrapText="1"/>
    </xf>
    <xf numFmtId="0" fontId="39" fillId="0" borderId="34" xfId="51" applyFont="1" applyFill="1" applyBorder="1" applyAlignment="1">
      <alignment horizontal="left" vertical="top" wrapText="1"/>
    </xf>
    <xf numFmtId="0" fontId="40" fillId="46" borderId="38" xfId="51" applyFont="1" applyFill="1" applyBorder="1" applyAlignment="1">
      <alignment horizontal="center" vertical="center"/>
    </xf>
    <xf numFmtId="0" fontId="40" fillId="46" borderId="3" xfId="51" applyFont="1" applyFill="1" applyBorder="1" applyAlignment="1">
      <alignment horizontal="center" vertical="center"/>
    </xf>
    <xf numFmtId="0" fontId="40" fillId="46" borderId="34" xfId="51" applyFont="1" applyFill="1" applyBorder="1" applyAlignment="1">
      <alignment horizontal="center" vertical="center"/>
    </xf>
    <xf numFmtId="0" fontId="40" fillId="46" borderId="38" xfId="51" applyFont="1" applyFill="1" applyBorder="1" applyAlignment="1">
      <alignment horizontal="left" vertical="center" wrapText="1"/>
    </xf>
    <xf numFmtId="0" fontId="40" fillId="46" borderId="3" xfId="51" applyFont="1" applyFill="1" applyBorder="1" applyAlignment="1">
      <alignment horizontal="left" vertical="center" wrapText="1"/>
    </xf>
    <xf numFmtId="0" fontId="40" fillId="46" borderId="34" xfId="51" applyFont="1" applyFill="1" applyBorder="1" applyAlignment="1">
      <alignment horizontal="left" vertical="center" wrapText="1"/>
    </xf>
    <xf numFmtId="0" fontId="39" fillId="46" borderId="38" xfId="51" applyFont="1" applyFill="1" applyBorder="1" applyAlignment="1">
      <alignment horizontal="center" vertical="center"/>
    </xf>
    <xf numFmtId="0" fontId="39" fillId="46" borderId="3" xfId="51" applyFont="1" applyFill="1" applyBorder="1" applyAlignment="1">
      <alignment horizontal="center" vertical="center"/>
    </xf>
    <xf numFmtId="0" fontId="39" fillId="46" borderId="34" xfId="51" applyFont="1" applyFill="1" applyBorder="1" applyAlignment="1">
      <alignment horizontal="center" vertical="center"/>
    </xf>
    <xf numFmtId="166" fontId="39" fillId="46" borderId="38" xfId="51" applyNumberFormat="1" applyFont="1" applyFill="1" applyBorder="1" applyAlignment="1">
      <alignment horizontal="center" vertical="center"/>
    </xf>
    <xf numFmtId="166" fontId="39" fillId="46" borderId="3" xfId="51" applyNumberFormat="1" applyFont="1" applyFill="1" applyBorder="1" applyAlignment="1">
      <alignment horizontal="center" vertical="center"/>
    </xf>
    <xf numFmtId="166" fontId="39" fillId="46" borderId="34" xfId="51" applyNumberFormat="1" applyFont="1" applyFill="1" applyBorder="1" applyAlignment="1">
      <alignment horizontal="center" vertical="center"/>
    </xf>
    <xf numFmtId="0" fontId="39" fillId="46" borderId="38" xfId="51" applyFont="1" applyFill="1" applyBorder="1" applyAlignment="1">
      <alignment horizontal="left" vertical="center" wrapText="1"/>
    </xf>
    <xf numFmtId="0" fontId="39" fillId="46" borderId="3" xfId="51" applyFont="1" applyFill="1" applyBorder="1" applyAlignment="1">
      <alignment horizontal="left" vertical="center" wrapText="1"/>
    </xf>
    <xf numFmtId="0" fontId="39" fillId="46" borderId="34" xfId="51" applyFont="1" applyFill="1" applyBorder="1" applyAlignment="1">
      <alignment horizontal="left" vertical="center" wrapText="1"/>
    </xf>
    <xf numFmtId="0" fontId="7" fillId="46" borderId="38" xfId="51" applyFont="1" applyFill="1" applyBorder="1" applyAlignment="1">
      <alignment horizontal="center" vertical="top"/>
    </xf>
    <xf numFmtId="0" fontId="7" fillId="46" borderId="3" xfId="51" applyFont="1" applyFill="1" applyBorder="1" applyAlignment="1">
      <alignment horizontal="center" vertical="top"/>
    </xf>
    <xf numFmtId="0" fontId="7" fillId="46" borderId="34" xfId="51" applyFont="1" applyFill="1" applyBorder="1" applyAlignment="1">
      <alignment horizontal="center" vertical="top"/>
    </xf>
    <xf numFmtId="0" fontId="39" fillId="0" borderId="2" xfId="51" applyFont="1" applyFill="1" applyBorder="1" applyAlignment="1">
      <alignment horizontal="center" vertical="center" wrapText="1"/>
    </xf>
    <xf numFmtId="0" fontId="39" fillId="0" borderId="3" xfId="51" applyFont="1" applyFill="1" applyBorder="1" applyAlignment="1">
      <alignment horizontal="center" vertical="center" wrapText="1"/>
    </xf>
    <xf numFmtId="0" fontId="39" fillId="0" borderId="5" xfId="51" applyFont="1" applyFill="1" applyBorder="1" applyAlignment="1">
      <alignment horizontal="center" vertical="center" wrapText="1"/>
    </xf>
    <xf numFmtId="0" fontId="39" fillId="0" borderId="2" xfId="51" applyFont="1" applyFill="1" applyBorder="1" applyAlignment="1">
      <alignment vertical="center" wrapText="1"/>
    </xf>
    <xf numFmtId="0" fontId="39" fillId="0" borderId="3" xfId="51" applyFont="1" applyFill="1" applyBorder="1" applyAlignment="1">
      <alignment vertical="center" wrapText="1"/>
    </xf>
    <xf numFmtId="0" fontId="39" fillId="0" borderId="5" xfId="51" applyFont="1" applyFill="1" applyBorder="1" applyAlignment="1">
      <alignment vertical="center" wrapText="1"/>
    </xf>
    <xf numFmtId="0" fontId="39" fillId="0" borderId="2" xfId="51" applyFont="1" applyFill="1" applyBorder="1" applyAlignment="1">
      <alignment horizontal="center" vertical="center"/>
    </xf>
    <xf numFmtId="0" fontId="39" fillId="0" borderId="3" xfId="51" applyFont="1" applyFill="1" applyBorder="1" applyAlignment="1">
      <alignment horizontal="center" vertical="center"/>
    </xf>
    <xf numFmtId="0" fontId="39" fillId="0" borderId="5" xfId="51" applyFont="1" applyFill="1" applyBorder="1" applyAlignment="1">
      <alignment horizontal="center" vertical="center"/>
    </xf>
    <xf numFmtId="166" fontId="39" fillId="0" borderId="2" xfId="51" applyNumberFormat="1" applyFont="1" applyFill="1" applyBorder="1" applyAlignment="1">
      <alignment horizontal="center" vertical="center"/>
    </xf>
    <xf numFmtId="166" fontId="39" fillId="0" borderId="5" xfId="51" applyNumberFormat="1" applyFont="1" applyFill="1" applyBorder="1" applyAlignment="1">
      <alignment horizontal="center" vertical="center"/>
    </xf>
    <xf numFmtId="0" fontId="7" fillId="46" borderId="23" xfId="51" applyFont="1" applyFill="1" applyBorder="1" applyAlignment="1">
      <alignment horizontal="center" vertical="top"/>
    </xf>
    <xf numFmtId="0" fontId="7" fillId="46" borderId="24" xfId="51" applyFont="1" applyFill="1" applyBorder="1" applyAlignment="1">
      <alignment horizontal="center" vertical="top"/>
    </xf>
    <xf numFmtId="0" fontId="39" fillId="46" borderId="2" xfId="51" applyFont="1" applyFill="1" applyBorder="1" applyAlignment="1">
      <alignment horizontal="left" vertical="top" wrapText="1"/>
    </xf>
    <xf numFmtId="0" fontId="39" fillId="46" borderId="3" xfId="51" applyFont="1" applyFill="1" applyBorder="1" applyAlignment="1">
      <alignment horizontal="left" vertical="top" wrapText="1"/>
    </xf>
    <xf numFmtId="1" fontId="39" fillId="46" borderId="2" xfId="51" applyNumberFormat="1" applyFont="1" applyFill="1" applyBorder="1" applyAlignment="1">
      <alignment horizontal="center" vertical="center"/>
    </xf>
    <xf numFmtId="1" fontId="39" fillId="46" borderId="3" xfId="51" applyNumberFormat="1" applyFont="1" applyFill="1" applyBorder="1" applyAlignment="1">
      <alignment horizontal="center" vertical="center"/>
    </xf>
    <xf numFmtId="166" fontId="39" fillId="46" borderId="2" xfId="51" applyNumberFormat="1" applyFont="1" applyFill="1" applyBorder="1" applyAlignment="1">
      <alignment horizontal="center" vertical="center"/>
    </xf>
    <xf numFmtId="0" fontId="39" fillId="0" borderId="2" xfId="51" applyFont="1" applyFill="1" applyBorder="1" applyAlignment="1">
      <alignment horizontal="left" vertical="center" wrapText="1"/>
    </xf>
    <xf numFmtId="0" fontId="39" fillId="0" borderId="23" xfId="51" applyFont="1" applyFill="1" applyBorder="1" applyAlignment="1">
      <alignment horizontal="left" vertical="top" wrapText="1"/>
    </xf>
    <xf numFmtId="0" fontId="39" fillId="0" borderId="24" xfId="51" applyFont="1" applyFill="1" applyBorder="1" applyAlignment="1">
      <alignment horizontal="left" vertical="top" wrapText="1"/>
    </xf>
    <xf numFmtId="0" fontId="39" fillId="46" borderId="1" xfId="51" applyFont="1" applyFill="1" applyBorder="1" applyAlignment="1">
      <alignment vertical="center" wrapText="1"/>
    </xf>
    <xf numFmtId="0" fontId="7" fillId="46" borderId="2" xfId="51" applyFont="1" applyFill="1" applyBorder="1" applyAlignment="1">
      <alignment vertical="top"/>
    </xf>
    <xf numFmtId="0" fontId="7" fillId="46" borderId="3" xfId="51" applyFont="1" applyFill="1" applyBorder="1" applyAlignment="1">
      <alignment vertical="top"/>
    </xf>
    <xf numFmtId="0" fontId="7" fillId="46" borderId="5" xfId="51" applyFont="1" applyFill="1" applyBorder="1" applyAlignment="1">
      <alignment vertical="top"/>
    </xf>
    <xf numFmtId="16" fontId="7" fillId="0" borderId="2" xfId="0" applyNumberFormat="1" applyFont="1" applyFill="1" applyBorder="1" applyAlignment="1" applyProtection="1">
      <alignment horizontal="center" vertical="center" wrapText="1"/>
      <protection locked="0"/>
    </xf>
    <xf numFmtId="0" fontId="7" fillId="0" borderId="3" xfId="0" applyFont="1" applyFill="1" applyBorder="1" applyAlignment="1" applyProtection="1">
      <alignment horizontal="center" vertical="center" wrapText="1"/>
      <protection locked="0"/>
    </xf>
    <xf numFmtId="0" fontId="7" fillId="0" borderId="5" xfId="0" applyFont="1" applyFill="1" applyBorder="1" applyAlignment="1" applyProtection="1">
      <alignment horizontal="center" vertical="center" wrapText="1"/>
      <protection locked="0"/>
    </xf>
    <xf numFmtId="0" fontId="7" fillId="0" borderId="2" xfId="0" applyFont="1" applyFill="1" applyBorder="1" applyAlignment="1" applyProtection="1">
      <alignment horizontal="left" vertical="center" wrapText="1"/>
      <protection locked="0"/>
    </xf>
    <xf numFmtId="0" fontId="7" fillId="0" borderId="3" xfId="0" applyFont="1" applyFill="1" applyBorder="1" applyAlignment="1" applyProtection="1">
      <alignment horizontal="left" vertical="center" wrapText="1"/>
      <protection locked="0"/>
    </xf>
    <xf numFmtId="0" fontId="7" fillId="0" borderId="5" xfId="0" applyFont="1" applyFill="1" applyBorder="1" applyAlignment="1" applyProtection="1">
      <alignment horizontal="left" vertical="center" wrapText="1"/>
      <protection locked="0"/>
    </xf>
    <xf numFmtId="0" fontId="39" fillId="0" borderId="2" xfId="51" applyNumberFormat="1" applyFont="1" applyFill="1" applyBorder="1" applyAlignment="1">
      <alignment horizontal="center" vertical="center" wrapText="1"/>
    </xf>
    <xf numFmtId="0" fontId="39" fillId="0" borderId="3" xfId="51" applyNumberFormat="1" applyFont="1" applyFill="1" applyBorder="1" applyAlignment="1">
      <alignment horizontal="center" vertical="center" wrapText="1"/>
    </xf>
    <xf numFmtId="0" fontId="39" fillId="0" borderId="5" xfId="51" applyNumberFormat="1" applyFont="1" applyFill="1" applyBorder="1" applyAlignment="1">
      <alignment horizontal="center" vertical="center" wrapText="1"/>
    </xf>
    <xf numFmtId="166" fontId="39" fillId="0" borderId="2" xfId="51" applyNumberFormat="1" applyFont="1" applyFill="1" applyBorder="1" applyAlignment="1">
      <alignment horizontal="center" vertical="center" wrapText="1"/>
    </xf>
    <xf numFmtId="166" fontId="39" fillId="0" borderId="3" xfId="51" applyNumberFormat="1" applyFont="1" applyFill="1" applyBorder="1" applyAlignment="1">
      <alignment horizontal="center" vertical="center" wrapText="1"/>
    </xf>
    <xf numFmtId="166" fontId="39" fillId="0" borderId="5" xfId="51"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5" xfId="0" applyFont="1" applyFill="1" applyBorder="1" applyAlignment="1">
      <alignment horizontal="left" vertical="center" wrapText="1"/>
    </xf>
    <xf numFmtId="0" fontId="40" fillId="46" borderId="1" xfId="51" applyFont="1" applyFill="1" applyBorder="1" applyAlignment="1">
      <alignment horizontal="center" vertical="center"/>
    </xf>
    <xf numFmtId="0" fontId="40" fillId="46" borderId="2" xfId="51" applyFont="1" applyFill="1" applyBorder="1" applyAlignment="1">
      <alignment vertical="center" wrapText="1"/>
    </xf>
    <xf numFmtId="0" fontId="40" fillId="46" borderId="3" xfId="51" applyFont="1" applyFill="1" applyBorder="1" applyAlignment="1">
      <alignment vertical="center" wrapText="1"/>
    </xf>
    <xf numFmtId="0" fontId="40" fillId="46" borderId="5" xfId="51" applyFont="1" applyFill="1" applyBorder="1" applyAlignment="1">
      <alignment vertical="center" wrapText="1"/>
    </xf>
    <xf numFmtId="0" fontId="39" fillId="46" borderId="2" xfId="51" applyNumberFormat="1" applyFont="1" applyFill="1" applyBorder="1" applyAlignment="1">
      <alignment horizontal="center" vertical="center" wrapText="1"/>
    </xf>
    <xf numFmtId="0" fontId="39" fillId="46" borderId="3" xfId="51" applyNumberFormat="1" applyFont="1" applyFill="1" applyBorder="1" applyAlignment="1">
      <alignment horizontal="center" vertical="center" wrapText="1"/>
    </xf>
    <xf numFmtId="0" fontId="39" fillId="46" borderId="5" xfId="51" applyNumberFormat="1" applyFont="1" applyFill="1" applyBorder="1" applyAlignment="1">
      <alignment horizontal="center" vertical="center" wrapText="1"/>
    </xf>
    <xf numFmtId="166" fontId="39" fillId="46" borderId="2" xfId="51" applyNumberFormat="1" applyFont="1" applyFill="1" applyBorder="1" applyAlignment="1">
      <alignment horizontal="center" vertical="center" wrapText="1"/>
    </xf>
    <xf numFmtId="166" fontId="39" fillId="46" borderId="3" xfId="51" applyNumberFormat="1" applyFont="1" applyFill="1" applyBorder="1" applyAlignment="1">
      <alignment horizontal="center" vertical="center" wrapText="1"/>
    </xf>
    <xf numFmtId="166" fontId="39" fillId="46" borderId="5" xfId="51" applyNumberFormat="1" applyFont="1" applyFill="1" applyBorder="1" applyAlignment="1">
      <alignment horizontal="center" vertical="center" wrapText="1"/>
    </xf>
    <xf numFmtId="0" fontId="6" fillId="0" borderId="0" xfId="0" applyFont="1" applyAlignment="1">
      <alignment horizontal="center" vertical="top"/>
    </xf>
    <xf numFmtId="0" fontId="8" fillId="0" borderId="1" xfId="0" applyFont="1" applyBorder="1" applyAlignment="1">
      <alignment horizontal="center" vertical="center" wrapText="1"/>
    </xf>
    <xf numFmtId="165" fontId="8" fillId="0" borderId="1" xfId="0" applyNumberFormat="1"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10" fontId="40" fillId="46" borderId="2" xfId="51" applyNumberFormat="1" applyFont="1" applyFill="1" applyBorder="1" applyAlignment="1">
      <alignment horizontal="center" vertical="center" wrapText="1"/>
    </xf>
    <xf numFmtId="10" fontId="40" fillId="46" borderId="3" xfId="51" applyNumberFormat="1" applyFont="1" applyFill="1" applyBorder="1" applyAlignment="1">
      <alignment horizontal="center" vertical="center" wrapText="1"/>
    </xf>
    <xf numFmtId="10" fontId="40" fillId="46" borderId="5" xfId="51" applyNumberFormat="1" applyFont="1" applyFill="1" applyBorder="1" applyAlignment="1">
      <alignment horizontal="center" vertical="center" wrapText="1"/>
    </xf>
    <xf numFmtId="0" fontId="39" fillId="46" borderId="2" xfId="51" applyFont="1" applyFill="1" applyBorder="1" applyAlignment="1">
      <alignment vertical="center" wrapText="1"/>
    </xf>
    <xf numFmtId="0" fontId="39" fillId="46" borderId="3" xfId="51" applyFont="1" applyFill="1" applyBorder="1" applyAlignment="1">
      <alignment vertical="center" wrapText="1"/>
    </xf>
    <xf numFmtId="0" fontId="39" fillId="46" borderId="5" xfId="51" applyFont="1" applyFill="1" applyBorder="1" applyAlignment="1">
      <alignment vertical="center" wrapText="1"/>
    </xf>
    <xf numFmtId="0" fontId="39" fillId="46" borderId="2" xfId="51" applyFont="1" applyFill="1" applyBorder="1" applyAlignment="1">
      <alignment horizontal="center" vertical="center" wrapText="1"/>
    </xf>
    <xf numFmtId="0" fontId="39" fillId="46" borderId="3" xfId="51" applyFont="1" applyFill="1" applyBorder="1" applyAlignment="1">
      <alignment horizontal="center" vertical="center" wrapText="1"/>
    </xf>
    <xf numFmtId="0" fontId="39" fillId="46" borderId="5" xfId="51" applyFont="1" applyFill="1" applyBorder="1" applyAlignment="1">
      <alignment horizontal="center" vertical="center" wrapText="1"/>
    </xf>
    <xf numFmtId="0" fontId="40" fillId="46" borderId="2" xfId="51" applyNumberFormat="1" applyFont="1" applyFill="1" applyBorder="1" applyAlignment="1">
      <alignment horizontal="center" vertical="center" wrapText="1"/>
    </xf>
    <xf numFmtId="0" fontId="40" fillId="46" borderId="3" xfId="51" applyNumberFormat="1" applyFont="1" applyFill="1" applyBorder="1" applyAlignment="1">
      <alignment horizontal="center" vertical="center" wrapText="1"/>
    </xf>
    <xf numFmtId="0" fontId="40" fillId="46" borderId="5" xfId="51" applyNumberFormat="1" applyFont="1" applyFill="1" applyBorder="1" applyAlignment="1">
      <alignment horizontal="center" vertical="center" wrapText="1"/>
    </xf>
    <xf numFmtId="1" fontId="40" fillId="46" borderId="2" xfId="51" applyNumberFormat="1" applyFont="1" applyFill="1" applyBorder="1" applyAlignment="1">
      <alignment horizontal="center" vertical="center" wrapText="1"/>
    </xf>
    <xf numFmtId="0" fontId="7" fillId="0" borderId="2" xfId="0" applyFont="1" applyFill="1" applyBorder="1" applyAlignment="1" applyProtection="1">
      <alignment horizontal="center" vertical="center" wrapText="1"/>
      <protection locked="0"/>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64" fontId="7" fillId="0" borderId="2" xfId="0" applyNumberFormat="1" applyFont="1" applyFill="1" applyBorder="1" applyAlignment="1" applyProtection="1">
      <alignment horizontal="left" vertical="center" wrapText="1"/>
      <protection locked="0"/>
    </xf>
    <xf numFmtId="164" fontId="7" fillId="0" borderId="3" xfId="0" applyNumberFormat="1" applyFont="1" applyFill="1" applyBorder="1" applyAlignment="1" applyProtection="1">
      <alignment horizontal="left" vertical="center" wrapText="1"/>
      <protection locked="0"/>
    </xf>
    <xf numFmtId="0" fontId="7" fillId="0" borderId="1" xfId="0" applyFont="1" applyFill="1" applyBorder="1" applyAlignment="1" applyProtection="1">
      <alignment horizontal="center" vertical="center" wrapText="1"/>
      <protection locked="0"/>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40" fillId="46" borderId="2" xfId="51" applyFont="1" applyFill="1" applyBorder="1" applyAlignment="1">
      <alignment horizontal="center" vertical="center"/>
    </xf>
    <xf numFmtId="0" fontId="39" fillId="46" borderId="2" xfId="51" applyFont="1" applyFill="1" applyBorder="1" applyAlignment="1">
      <alignment vertical="top" wrapText="1"/>
    </xf>
    <xf numFmtId="0" fontId="39" fillId="46" borderId="3" xfId="51" applyFont="1" applyFill="1" applyBorder="1" applyAlignment="1">
      <alignment vertical="top" wrapText="1"/>
    </xf>
    <xf numFmtId="49" fontId="37" fillId="46" borderId="2" xfId="0" applyNumberFormat="1" applyFont="1" applyFill="1" applyBorder="1" applyAlignment="1">
      <alignment horizontal="center" vertical="center" wrapText="1"/>
    </xf>
    <xf numFmtId="49" fontId="37" fillId="46" borderId="3" xfId="0" applyNumberFormat="1" applyFont="1" applyFill="1" applyBorder="1" applyAlignment="1">
      <alignment horizontal="center" vertical="center" wrapText="1"/>
    </xf>
    <xf numFmtId="49" fontId="37" fillId="46" borderId="5" xfId="0" applyNumberFormat="1" applyFont="1" applyFill="1" applyBorder="1" applyAlignment="1">
      <alignment horizontal="center" vertical="center" wrapText="1"/>
    </xf>
    <xf numFmtId="0" fontId="37" fillId="46" borderId="2" xfId="0" applyFont="1" applyFill="1" applyBorder="1" applyAlignment="1">
      <alignment horizontal="left" vertical="center" wrapText="1"/>
    </xf>
    <xf numFmtId="0" fontId="37" fillId="46" borderId="3" xfId="0" applyFont="1" applyFill="1" applyBorder="1" applyAlignment="1">
      <alignment horizontal="left" vertical="center" wrapText="1"/>
    </xf>
    <xf numFmtId="0" fontId="37" fillId="46" borderId="5" xfId="0" applyFont="1" applyFill="1" applyBorder="1" applyAlignment="1">
      <alignment horizontal="left" vertical="center" wrapText="1"/>
    </xf>
    <xf numFmtId="0" fontId="39" fillId="46" borderId="2" xfId="51" applyFont="1" applyFill="1" applyBorder="1" applyAlignment="1">
      <alignment horizontal="center" vertical="center"/>
    </xf>
    <xf numFmtId="0" fontId="39" fillId="46" borderId="5" xfId="51" applyFont="1" applyFill="1" applyBorder="1" applyAlignment="1">
      <alignment horizontal="center" vertical="center"/>
    </xf>
    <xf numFmtId="166" fontId="39" fillId="46" borderId="5" xfId="51" applyNumberFormat="1" applyFont="1" applyFill="1" applyBorder="1" applyAlignment="1">
      <alignment horizontal="center" vertical="center"/>
    </xf>
    <xf numFmtId="0" fontId="7" fillId="46" borderId="2" xfId="0" applyFont="1" applyFill="1" applyBorder="1" applyAlignment="1">
      <alignment horizontal="left" vertical="center" wrapText="1"/>
    </xf>
    <xf numFmtId="0" fontId="7" fillId="46" borderId="3" xfId="0" applyFont="1" applyFill="1" applyBorder="1" applyAlignment="1">
      <alignment horizontal="left" vertical="center" wrapText="1"/>
    </xf>
    <xf numFmtId="0" fontId="7" fillId="46" borderId="5" xfId="0" applyFont="1" applyFill="1" applyBorder="1" applyAlignment="1">
      <alignment horizontal="left" vertical="center" wrapText="1"/>
    </xf>
    <xf numFmtId="49" fontId="7" fillId="46" borderId="2" xfId="0" applyNumberFormat="1" applyFont="1" applyFill="1" applyBorder="1" applyAlignment="1">
      <alignment horizontal="left" vertical="center" wrapText="1"/>
    </xf>
    <xf numFmtId="49" fontId="7" fillId="46" borderId="3" xfId="0" applyNumberFormat="1" applyFont="1" applyFill="1" applyBorder="1" applyAlignment="1">
      <alignment horizontal="left" vertical="center" wrapText="1"/>
    </xf>
    <xf numFmtId="49" fontId="7" fillId="46" borderId="5" xfId="0" applyNumberFormat="1" applyFont="1" applyFill="1" applyBorder="1" applyAlignment="1">
      <alignment horizontal="left" vertical="center" wrapText="1"/>
    </xf>
    <xf numFmtId="49" fontId="7" fillId="0" borderId="2" xfId="0" applyNumberFormat="1"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49" fontId="7" fillId="0" borderId="5"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5" xfId="0" applyFont="1" applyFill="1" applyBorder="1" applyAlignment="1">
      <alignment horizontal="left" vertical="center" wrapText="1"/>
    </xf>
    <xf numFmtId="166" fontId="39" fillId="0" borderId="1" xfId="51" applyNumberFormat="1" applyFont="1" applyFill="1" applyBorder="1" applyAlignment="1">
      <alignment horizontal="center" vertical="center"/>
    </xf>
    <xf numFmtId="0" fontId="7" fillId="0" borderId="2" xfId="0" applyFont="1" applyFill="1" applyBorder="1" applyAlignment="1">
      <alignment horizontal="left" vertical="top" wrapText="1"/>
    </xf>
    <xf numFmtId="0" fontId="7" fillId="0" borderId="3" xfId="0" applyFont="1" applyFill="1" applyBorder="1" applyAlignment="1">
      <alignment horizontal="left" vertical="top" wrapText="1"/>
    </xf>
    <xf numFmtId="0" fontId="7" fillId="0" borderId="5" xfId="0" applyFont="1" applyFill="1" applyBorder="1" applyAlignment="1">
      <alignment horizontal="left" vertical="top" wrapText="1"/>
    </xf>
    <xf numFmtId="0" fontId="39" fillId="0" borderId="38" xfId="51" applyFont="1" applyFill="1" applyBorder="1" applyAlignment="1">
      <alignment horizontal="center" vertical="center" wrapText="1"/>
    </xf>
    <xf numFmtId="0" fontId="39" fillId="0" borderId="34" xfId="51" applyFont="1" applyFill="1" applyBorder="1" applyAlignment="1">
      <alignment horizontal="center" vertical="center" wrapText="1"/>
    </xf>
    <xf numFmtId="0" fontId="39" fillId="0" borderId="38" xfId="51" applyFont="1" applyFill="1" applyBorder="1" applyAlignment="1">
      <alignment horizontal="center" vertical="center"/>
    </xf>
    <xf numFmtId="0" fontId="39" fillId="0" borderId="34" xfId="51" applyFont="1" applyFill="1" applyBorder="1" applyAlignment="1">
      <alignment horizontal="center" vertical="center"/>
    </xf>
    <xf numFmtId="0" fontId="40" fillId="46" borderId="5" xfId="51" applyFont="1" applyFill="1" applyBorder="1" applyAlignment="1">
      <alignment horizontal="center" vertical="center"/>
    </xf>
    <xf numFmtId="0" fontId="39" fillId="0" borderId="5" xfId="51" applyFont="1" applyFill="1" applyBorder="1" applyAlignment="1">
      <alignment horizontal="left" vertical="center" wrapText="1"/>
    </xf>
    <xf numFmtId="0" fontId="39" fillId="0" borderId="2" xfId="51" applyFont="1" applyFill="1" applyBorder="1" applyAlignment="1">
      <alignment vertical="top" wrapText="1"/>
    </xf>
    <xf numFmtId="0" fontId="39" fillId="0" borderId="3" xfId="51" applyFont="1" applyFill="1" applyBorder="1" applyAlignment="1">
      <alignment vertical="top" wrapText="1"/>
    </xf>
    <xf numFmtId="0" fontId="39" fillId="0" borderId="5" xfId="51" applyFont="1" applyFill="1" applyBorder="1" applyAlignment="1">
      <alignment vertical="top" wrapText="1"/>
    </xf>
    <xf numFmtId="0" fontId="40" fillId="46" borderId="2" xfId="51" applyFont="1" applyFill="1" applyBorder="1" applyAlignment="1">
      <alignment horizontal="left" vertical="center" wrapText="1"/>
    </xf>
    <xf numFmtId="0" fontId="40" fillId="46" borderId="5" xfId="51" applyFont="1" applyFill="1" applyBorder="1" applyAlignment="1">
      <alignment horizontal="left" vertical="center" wrapText="1"/>
    </xf>
    <xf numFmtId="0" fontId="7" fillId="46" borderId="2" xfId="51" applyFont="1" applyFill="1" applyBorder="1" applyAlignment="1">
      <alignment vertical="center" wrapText="1"/>
    </xf>
    <xf numFmtId="0" fontId="7" fillId="46" borderId="3" xfId="51" applyFont="1" applyFill="1" applyBorder="1" applyAlignment="1">
      <alignment vertical="center" wrapText="1"/>
    </xf>
    <xf numFmtId="0" fontId="7" fillId="46" borderId="5" xfId="51" applyFont="1" applyFill="1" applyBorder="1" applyAlignment="1">
      <alignment vertical="center" wrapText="1"/>
    </xf>
    <xf numFmtId="0" fontId="39" fillId="0" borderId="1" xfId="51" applyFont="1" applyFill="1" applyBorder="1" applyAlignment="1">
      <alignment horizontal="center" vertical="center" wrapText="1"/>
    </xf>
    <xf numFmtId="0" fontId="39" fillId="0" borderId="23" xfId="51" applyFont="1" applyFill="1" applyBorder="1" applyAlignment="1">
      <alignment horizontal="center" vertical="center"/>
    </xf>
    <xf numFmtId="0" fontId="39" fillId="0" borderId="24" xfId="51" applyFont="1" applyFill="1" applyBorder="1" applyAlignment="1">
      <alignment horizontal="center" vertical="center"/>
    </xf>
    <xf numFmtId="0" fontId="39" fillId="0" borderId="25" xfId="51" applyFont="1" applyFill="1" applyBorder="1" applyAlignment="1">
      <alignment horizontal="center" vertical="center"/>
    </xf>
    <xf numFmtId="0" fontId="39" fillId="0" borderId="1" xfId="51" applyFont="1" applyFill="1" applyBorder="1" applyAlignment="1">
      <alignment horizontal="center" vertical="center"/>
    </xf>
    <xf numFmtId="0" fontId="39" fillId="0" borderId="1" xfId="51" applyFont="1" applyFill="1" applyBorder="1" applyAlignment="1">
      <alignment horizontal="left" vertical="center" wrapText="1"/>
    </xf>
    <xf numFmtId="0" fontId="39" fillId="0" borderId="23" xfId="51" applyFont="1" applyFill="1" applyBorder="1" applyAlignment="1">
      <alignment horizontal="left" vertical="center" wrapText="1"/>
    </xf>
    <xf numFmtId="0" fontId="39" fillId="0" borderId="24" xfId="51" applyFont="1" applyFill="1" applyBorder="1" applyAlignment="1">
      <alignment horizontal="left" vertical="center" wrapText="1"/>
    </xf>
    <xf numFmtId="0" fontId="39" fillId="0" borderId="25" xfId="51" applyFont="1" applyFill="1" applyBorder="1" applyAlignment="1">
      <alignment horizontal="left" vertical="center" wrapText="1"/>
    </xf>
    <xf numFmtId="0" fontId="39" fillId="0" borderId="29" xfId="51" applyFont="1" applyFill="1" applyBorder="1" applyAlignment="1">
      <alignment vertical="center" wrapText="1"/>
    </xf>
    <xf numFmtId="0" fontId="7" fillId="0" borderId="28" xfId="0" applyFont="1" applyFill="1" applyBorder="1" applyAlignment="1">
      <alignment horizontal="left" vertical="center" wrapText="1"/>
    </xf>
    <xf numFmtId="0" fontId="0" fillId="0" borderId="3" xfId="0" applyFill="1" applyBorder="1"/>
    <xf numFmtId="0" fontId="0" fillId="0" borderId="5" xfId="0" applyFill="1" applyBorder="1"/>
    <xf numFmtId="0" fontId="0" fillId="0" borderId="3" xfId="0" applyFill="1" applyBorder="1" applyAlignment="1">
      <alignment horizontal="center"/>
    </xf>
    <xf numFmtId="0" fontId="0" fillId="0" borderId="5" xfId="0" applyFill="1" applyBorder="1" applyAlignment="1">
      <alignment horizontal="center"/>
    </xf>
    <xf numFmtId="16" fontId="39" fillId="0" borderId="2" xfId="51" applyNumberFormat="1" applyFont="1" applyFill="1" applyBorder="1" applyAlignment="1">
      <alignment horizontal="center" vertical="center" wrapText="1"/>
    </xf>
    <xf numFmtId="16" fontId="39" fillId="0" borderId="3" xfId="51" applyNumberFormat="1" applyFont="1" applyFill="1" applyBorder="1" applyAlignment="1">
      <alignment horizontal="center" vertical="center" wrapText="1"/>
    </xf>
    <xf numFmtId="16" fontId="39" fillId="0" borderId="5" xfId="51" applyNumberFormat="1" applyFont="1" applyFill="1" applyBorder="1" applyAlignment="1">
      <alignment horizontal="center" vertical="center" wrapText="1"/>
    </xf>
    <xf numFmtId="1" fontId="39" fillId="0" borderId="2" xfId="51" applyNumberFormat="1" applyFont="1" applyFill="1" applyBorder="1" applyAlignment="1">
      <alignment horizontal="center" vertical="center"/>
    </xf>
    <xf numFmtId="1" fontId="39" fillId="0" borderId="3" xfId="51" applyNumberFormat="1" applyFont="1" applyFill="1" applyBorder="1" applyAlignment="1">
      <alignment horizontal="center" vertical="center"/>
    </xf>
    <xf numFmtId="1" fontId="39" fillId="0" borderId="5" xfId="51" applyNumberFormat="1" applyFont="1" applyFill="1" applyBorder="1" applyAlignment="1">
      <alignment horizontal="center" vertical="center"/>
    </xf>
    <xf numFmtId="0" fontId="0" fillId="0" borderId="34" xfId="0" applyFill="1" applyBorder="1" applyAlignment="1">
      <alignment horizontal="left" vertical="center" wrapText="1"/>
    </xf>
    <xf numFmtId="0" fontId="0" fillId="0" borderId="37" xfId="0" applyFill="1" applyBorder="1" applyAlignment="1">
      <alignment horizontal="left" vertical="center" wrapText="1"/>
    </xf>
    <xf numFmtId="1" fontId="39" fillId="0" borderId="2" xfId="51" applyNumberFormat="1" applyFont="1" applyFill="1" applyBorder="1" applyAlignment="1">
      <alignment horizontal="center" vertical="center" wrapText="1"/>
    </xf>
    <xf numFmtId="1" fontId="39" fillId="0" borderId="3" xfId="51" applyNumberFormat="1" applyFont="1" applyFill="1" applyBorder="1" applyAlignment="1">
      <alignment horizontal="center" vertical="center" wrapText="1"/>
    </xf>
    <xf numFmtId="0" fontId="0" fillId="0" borderId="34" xfId="0" applyFill="1" applyBorder="1" applyAlignment="1">
      <alignment horizontal="center" vertical="center" wrapText="1"/>
    </xf>
    <xf numFmtId="1" fontId="39" fillId="0" borderId="1" xfId="51"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left" vertical="top" wrapText="1"/>
    </xf>
    <xf numFmtId="0" fontId="8" fillId="0" borderId="5" xfId="0" applyFont="1" applyFill="1" applyBorder="1" applyAlignment="1">
      <alignment horizontal="center"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72" fillId="0" borderId="36" xfId="0" applyFont="1" applyBorder="1" applyAlignment="1">
      <alignment horizontal="center" vertical="center"/>
    </xf>
    <xf numFmtId="0" fontId="22" fillId="36" borderId="38" xfId="49" applyFont="1" applyBorder="1" applyAlignment="1">
      <alignment horizontal="center" vertical="center" wrapText="1"/>
    </xf>
    <xf numFmtId="0" fontId="22" fillId="36" borderId="34" xfId="49" applyFont="1" applyBorder="1" applyAlignment="1">
      <alignment horizontal="center" vertical="center" wrapText="1"/>
    </xf>
    <xf numFmtId="0" fontId="22" fillId="0" borderId="38" xfId="49" applyFont="1" applyFill="1" applyBorder="1" applyAlignment="1">
      <alignment horizontal="center" vertical="center" wrapText="1"/>
    </xf>
    <xf numFmtId="0" fontId="22" fillId="0" borderId="34" xfId="49" applyFont="1" applyFill="1" applyBorder="1" applyAlignment="1">
      <alignment horizontal="center" vertical="center" wrapText="1"/>
    </xf>
    <xf numFmtId="4" fontId="22" fillId="0" borderId="38" xfId="49" applyNumberFormat="1" applyFont="1" applyFill="1" applyBorder="1" applyAlignment="1" applyProtection="1">
      <alignment horizontal="center" vertical="center" wrapText="1"/>
      <protection locked="0"/>
    </xf>
    <xf numFmtId="4" fontId="22" fillId="0" borderId="34" xfId="49" applyNumberFormat="1" applyFont="1" applyFill="1" applyBorder="1" applyAlignment="1" applyProtection="1">
      <alignment horizontal="center" vertical="center" wrapText="1"/>
      <protection locked="0"/>
    </xf>
    <xf numFmtId="164" fontId="22" fillId="0" borderId="38" xfId="49" applyNumberFormat="1" applyFont="1" applyFill="1" applyBorder="1" applyAlignment="1" applyProtection="1">
      <alignment horizontal="center" vertical="center" wrapText="1"/>
      <protection locked="0"/>
    </xf>
    <xf numFmtId="164" fontId="22" fillId="0" borderId="34" xfId="49" applyNumberFormat="1" applyFont="1" applyFill="1" applyBorder="1" applyAlignment="1" applyProtection="1">
      <alignment horizontal="center" vertical="center" wrapText="1"/>
      <protection locked="0"/>
    </xf>
    <xf numFmtId="164" fontId="22" fillId="0" borderId="40" xfId="49" applyNumberFormat="1" applyFont="1" applyFill="1" applyBorder="1" applyAlignment="1" applyProtection="1">
      <alignment horizontal="center" vertical="center" wrapText="1"/>
      <protection locked="0"/>
    </xf>
    <xf numFmtId="164" fontId="22" fillId="0" borderId="37" xfId="49" applyNumberFormat="1" applyFont="1" applyFill="1" applyBorder="1" applyAlignment="1" applyProtection="1">
      <alignment horizontal="center" vertical="center" wrapText="1"/>
      <protection locked="0"/>
    </xf>
    <xf numFmtId="164" fontId="22" fillId="0" borderId="39" xfId="49" applyNumberFormat="1" applyFont="1" applyFill="1" applyBorder="1" applyAlignment="1" applyProtection="1">
      <alignment horizontal="center" vertical="center" wrapText="1"/>
      <protection locked="0"/>
    </xf>
    <xf numFmtId="9" fontId="22" fillId="0" borderId="38" xfId="56" applyFont="1" applyFill="1" applyBorder="1" applyAlignment="1" applyProtection="1">
      <alignment horizontal="center" vertical="center" wrapText="1"/>
      <protection locked="0"/>
    </xf>
    <xf numFmtId="9" fontId="22" fillId="0" borderId="34" xfId="56" applyFont="1" applyFill="1" applyBorder="1" applyAlignment="1" applyProtection="1">
      <alignment horizontal="center" vertical="center" wrapText="1"/>
      <protection locked="0"/>
    </xf>
    <xf numFmtId="0" fontId="22" fillId="45" borderId="6" xfId="1" applyFont="1" applyFill="1" applyBorder="1" applyAlignment="1">
      <alignment horizontal="left" vertical="center"/>
    </xf>
    <xf numFmtId="0" fontId="0" fillId="0" borderId="7" xfId="0" applyBorder="1" applyAlignment="1">
      <alignment horizontal="left" vertical="center"/>
    </xf>
    <xf numFmtId="0" fontId="0" fillId="0" borderId="4" xfId="0" applyBorder="1" applyAlignment="1">
      <alignment horizontal="left" vertical="center"/>
    </xf>
    <xf numFmtId="0" fontId="22" fillId="3" borderId="39" xfId="1" applyFont="1" applyFill="1" applyBorder="1" applyAlignment="1">
      <alignment horizontal="center" vertical="center" wrapText="1"/>
    </xf>
    <xf numFmtId="0" fontId="22" fillId="3" borderId="39" xfId="1" applyFont="1" applyFill="1" applyBorder="1" applyAlignment="1">
      <alignment horizontal="left" vertical="center" wrapText="1"/>
    </xf>
    <xf numFmtId="0" fontId="22" fillId="3" borderId="39" xfId="1" applyFont="1" applyFill="1" applyBorder="1" applyAlignment="1">
      <alignment horizontal="center" vertical="top" wrapText="1"/>
    </xf>
    <xf numFmtId="164" fontId="22" fillId="3" borderId="39" xfId="1" applyNumberFormat="1" applyFont="1" applyFill="1" applyBorder="1" applyAlignment="1">
      <alignment horizontal="center" vertical="center" wrapText="1"/>
    </xf>
    <xf numFmtId="9" fontId="22" fillId="3" borderId="39" xfId="56" applyFont="1" applyFill="1" applyBorder="1" applyAlignment="1">
      <alignment horizontal="center" vertical="center" wrapText="1"/>
    </xf>
    <xf numFmtId="0" fontId="22" fillId="3" borderId="39" xfId="1" applyFont="1" applyFill="1" applyBorder="1" applyAlignment="1">
      <alignment horizontal="left" vertical="top" wrapText="1"/>
    </xf>
    <xf numFmtId="0" fontId="21" fillId="0" borderId="40" xfId="1" applyFont="1" applyBorder="1" applyAlignment="1">
      <alignment horizontal="left" vertical="center" wrapText="1"/>
    </xf>
    <xf numFmtId="0" fontId="21" fillId="0" borderId="41" xfId="1" applyFont="1" applyBorder="1" applyAlignment="1">
      <alignment horizontal="left" vertical="center" wrapText="1"/>
    </xf>
    <xf numFmtId="0" fontId="21" fillId="0" borderId="42" xfId="1" applyFont="1" applyBorder="1" applyAlignment="1">
      <alignment horizontal="left" vertical="center" wrapText="1"/>
    </xf>
    <xf numFmtId="0" fontId="21" fillId="0" borderId="24" xfId="1" applyFont="1" applyBorder="1" applyAlignment="1">
      <alignment horizontal="left" vertical="center" wrapText="1"/>
    </xf>
    <xf numFmtId="0" fontId="21" fillId="0" borderId="0" xfId="1" applyFont="1" applyBorder="1" applyAlignment="1">
      <alignment horizontal="left" vertical="center" wrapText="1"/>
    </xf>
    <xf numFmtId="0" fontId="21" fillId="0" borderId="27" xfId="1" applyFont="1" applyBorder="1" applyAlignment="1">
      <alignment horizontal="left" vertical="center" wrapText="1"/>
    </xf>
    <xf numFmtId="0" fontId="21" fillId="0" borderId="37" xfId="1" applyFont="1" applyBorder="1" applyAlignment="1">
      <alignment horizontal="left" vertical="center" wrapText="1"/>
    </xf>
    <xf numFmtId="0" fontId="21" fillId="0" borderId="36" xfId="1" applyFont="1" applyBorder="1" applyAlignment="1">
      <alignment horizontal="left" vertical="center" wrapText="1"/>
    </xf>
    <xf numFmtId="0" fontId="21" fillId="0" borderId="35" xfId="1" applyFont="1" applyBorder="1" applyAlignment="1">
      <alignment horizontal="left" vertical="center" wrapText="1"/>
    </xf>
    <xf numFmtId="1" fontId="21" fillId="0" borderId="39" xfId="56" applyNumberFormat="1" applyFont="1" applyFill="1" applyBorder="1" applyAlignment="1">
      <alignment horizontal="center" vertical="center" wrapText="1"/>
    </xf>
    <xf numFmtId="164" fontId="21" fillId="0" borderId="39" xfId="1" applyNumberFormat="1" applyFont="1" applyBorder="1" applyAlignment="1">
      <alignment horizontal="left" vertical="center" wrapText="1"/>
    </xf>
    <xf numFmtId="0" fontId="21" fillId="0" borderId="39" xfId="1" applyFont="1" applyBorder="1" applyAlignment="1">
      <alignment horizontal="left" vertical="center" wrapText="1"/>
    </xf>
    <xf numFmtId="0" fontId="21" fillId="46" borderId="40" xfId="1" applyFont="1" applyFill="1" applyBorder="1" applyAlignment="1">
      <alignment horizontal="left" vertical="center" wrapText="1"/>
    </xf>
    <xf numFmtId="0" fontId="21" fillId="46" borderId="41" xfId="1" applyFont="1" applyFill="1" applyBorder="1" applyAlignment="1">
      <alignment horizontal="left" vertical="center" wrapText="1"/>
    </xf>
    <xf numFmtId="0" fontId="21" fillId="46" borderId="42" xfId="1" applyFont="1" applyFill="1" applyBorder="1" applyAlignment="1">
      <alignment horizontal="left" vertical="center" wrapText="1"/>
    </xf>
    <xf numFmtId="0" fontId="21" fillId="46" borderId="24" xfId="1" applyFont="1" applyFill="1" applyBorder="1" applyAlignment="1">
      <alignment horizontal="left" vertical="center" wrapText="1"/>
    </xf>
    <xf numFmtId="0" fontId="21" fillId="46" borderId="0" xfId="1" applyFont="1" applyFill="1" applyBorder="1" applyAlignment="1">
      <alignment horizontal="left" vertical="center" wrapText="1"/>
    </xf>
    <xf numFmtId="0" fontId="21" fillId="46" borderId="27" xfId="1" applyFont="1" applyFill="1" applyBorder="1" applyAlignment="1">
      <alignment horizontal="left" vertical="center" wrapText="1"/>
    </xf>
    <xf numFmtId="0" fontId="0" fillId="46" borderId="24" xfId="0" applyFill="1" applyBorder="1" applyAlignment="1">
      <alignment horizontal="left" vertical="center" wrapText="1"/>
    </xf>
    <xf numFmtId="0" fontId="0" fillId="46" borderId="0" xfId="0" applyFill="1" applyBorder="1" applyAlignment="1">
      <alignment horizontal="left" vertical="center" wrapText="1"/>
    </xf>
    <xf numFmtId="0" fontId="0" fillId="46" borderId="27" xfId="0" applyFill="1" applyBorder="1" applyAlignment="1">
      <alignment horizontal="left" vertical="center" wrapText="1"/>
    </xf>
    <xf numFmtId="0" fontId="0" fillId="46" borderId="37" xfId="0" applyFill="1" applyBorder="1" applyAlignment="1">
      <alignment horizontal="left" vertical="center" wrapText="1"/>
    </xf>
    <xf numFmtId="0" fontId="0" fillId="46" borderId="36" xfId="0" applyFill="1" applyBorder="1" applyAlignment="1">
      <alignment horizontal="left" vertical="center" wrapText="1"/>
    </xf>
    <xf numFmtId="0" fontId="0" fillId="46" borderId="35" xfId="0" applyFill="1" applyBorder="1" applyAlignment="1">
      <alignment horizontal="left" vertical="center" wrapText="1"/>
    </xf>
    <xf numFmtId="9" fontId="21" fillId="46" borderId="38" xfId="56" applyFont="1" applyFill="1" applyBorder="1" applyAlignment="1">
      <alignment horizontal="center" vertical="center" wrapText="1"/>
    </xf>
    <xf numFmtId="9" fontId="21" fillId="46" borderId="3" xfId="56" applyFont="1" applyFill="1" applyBorder="1" applyAlignment="1">
      <alignment horizontal="center" vertical="center" wrapText="1"/>
    </xf>
    <xf numFmtId="164" fontId="21" fillId="46" borderId="42" xfId="1" applyNumberFormat="1" applyFont="1" applyFill="1" applyBorder="1" applyAlignment="1">
      <alignment horizontal="center" vertical="center" wrapText="1"/>
    </xf>
    <xf numFmtId="0" fontId="21" fillId="46" borderId="27" xfId="1" applyFont="1" applyFill="1" applyBorder="1" applyAlignment="1">
      <alignment horizontal="center" vertical="center" wrapText="1"/>
    </xf>
    <xf numFmtId="0" fontId="2" fillId="3" borderId="39" xfId="0" applyFont="1" applyFill="1" applyBorder="1" applyAlignment="1">
      <alignment horizontal="center" vertical="center" wrapText="1"/>
    </xf>
    <xf numFmtId="0" fontId="2" fillId="3" borderId="38" xfId="0" applyFont="1" applyFill="1" applyBorder="1" applyAlignment="1">
      <alignment horizontal="center" vertical="center" wrapText="1"/>
    </xf>
    <xf numFmtId="0" fontId="59" fillId="3" borderId="38" xfId="0" applyFont="1" applyFill="1" applyBorder="1" applyAlignment="1">
      <alignment horizontal="left" vertical="center" wrapText="1"/>
    </xf>
    <xf numFmtId="0" fontId="59" fillId="3" borderId="3" xfId="0" applyFont="1" applyFill="1" applyBorder="1" applyAlignment="1">
      <alignment horizontal="left" vertical="center" wrapText="1"/>
    </xf>
    <xf numFmtId="0" fontId="59" fillId="3" borderId="34" xfId="0" applyFont="1" applyFill="1" applyBorder="1" applyAlignment="1">
      <alignment horizontal="left" vertical="center" wrapText="1"/>
    </xf>
    <xf numFmtId="0" fontId="59" fillId="3" borderId="39" xfId="0" applyFont="1" applyFill="1" applyBorder="1" applyAlignment="1">
      <alignment horizontal="center" vertical="top" wrapText="1"/>
    </xf>
    <xf numFmtId="0" fontId="59" fillId="3" borderId="38" xfId="0" applyFont="1" applyFill="1" applyBorder="1" applyAlignment="1">
      <alignment horizontal="center" vertical="top" wrapText="1"/>
    </xf>
    <xf numFmtId="0" fontId="59" fillId="3" borderId="38" xfId="0" applyFont="1" applyFill="1" applyBorder="1" applyAlignment="1">
      <alignment horizontal="center" vertical="center" wrapText="1"/>
    </xf>
    <xf numFmtId="0" fontId="59" fillId="3" borderId="3" xfId="0" applyFont="1" applyFill="1" applyBorder="1" applyAlignment="1">
      <alignment horizontal="center" vertical="center" wrapText="1"/>
    </xf>
    <xf numFmtId="0" fontId="59" fillId="3" borderId="34" xfId="0" applyFont="1" applyFill="1" applyBorder="1" applyAlignment="1">
      <alignment horizontal="center" vertical="center" wrapText="1"/>
    </xf>
    <xf numFmtId="4" fontId="59" fillId="3" borderId="38" xfId="0" applyNumberFormat="1" applyFont="1" applyFill="1" applyBorder="1" applyAlignment="1">
      <alignment horizontal="center" vertical="top" wrapText="1"/>
    </xf>
    <xf numFmtId="4" fontId="59" fillId="3" borderId="3" xfId="0" applyNumberFormat="1" applyFont="1" applyFill="1" applyBorder="1" applyAlignment="1">
      <alignment horizontal="center" vertical="top" wrapText="1"/>
    </xf>
    <xf numFmtId="4" fontId="59" fillId="3" borderId="34" xfId="0" applyNumberFormat="1" applyFont="1" applyFill="1" applyBorder="1" applyAlignment="1">
      <alignment horizontal="center" vertical="top" wrapText="1"/>
    </xf>
    <xf numFmtId="10" fontId="2" fillId="3" borderId="39" xfId="0" applyNumberFormat="1" applyFont="1" applyFill="1" applyBorder="1" applyAlignment="1">
      <alignment horizontal="center" vertical="center"/>
    </xf>
    <xf numFmtId="0" fontId="2" fillId="3" borderId="38"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34" xfId="0" applyFont="1" applyFill="1" applyBorder="1" applyAlignment="1">
      <alignment horizontal="left" vertical="center" wrapText="1"/>
    </xf>
    <xf numFmtId="164" fontId="22" fillId="3" borderId="38" xfId="1" applyNumberFormat="1" applyFont="1" applyFill="1" applyBorder="1" applyAlignment="1">
      <alignment horizontal="center" vertical="center" wrapText="1"/>
    </xf>
    <xf numFmtId="164" fontId="22" fillId="3" borderId="3" xfId="1" applyNumberFormat="1" applyFont="1" applyFill="1" applyBorder="1" applyAlignment="1">
      <alignment horizontal="center" vertical="center" wrapText="1"/>
    </xf>
    <xf numFmtId="164" fontId="22" fillId="3" borderId="34" xfId="1" applyNumberFormat="1" applyFont="1" applyFill="1" applyBorder="1" applyAlignment="1">
      <alignment horizontal="center" vertical="center" wrapText="1"/>
    </xf>
    <xf numFmtId="0" fontId="2" fillId="3" borderId="38" xfId="0" applyFont="1" applyFill="1" applyBorder="1" applyAlignment="1">
      <alignment horizontal="left" vertical="top" wrapText="1"/>
    </xf>
    <xf numFmtId="0" fontId="2" fillId="3" borderId="3" xfId="0" applyFont="1" applyFill="1" applyBorder="1" applyAlignment="1">
      <alignment horizontal="left" vertical="top" wrapText="1"/>
    </xf>
    <xf numFmtId="0" fontId="2" fillId="3" borderId="38" xfId="0" applyFont="1" applyFill="1" applyBorder="1" applyAlignment="1">
      <alignment horizontal="left" wrapText="1"/>
    </xf>
    <xf numFmtId="0" fontId="2" fillId="3" borderId="3" xfId="0" applyFont="1" applyFill="1" applyBorder="1" applyAlignment="1">
      <alignment horizontal="left" wrapText="1"/>
    </xf>
    <xf numFmtId="0" fontId="2" fillId="3" borderId="34" xfId="0" applyFont="1" applyFill="1" applyBorder="1" applyAlignment="1">
      <alignment horizontal="left" wrapText="1"/>
    </xf>
    <xf numFmtId="0" fontId="2" fillId="3" borderId="39" xfId="0" applyFont="1" applyFill="1" applyBorder="1" applyAlignment="1">
      <alignment horizontal="center" vertical="top" wrapText="1"/>
    </xf>
    <xf numFmtId="0" fontId="2" fillId="3" borderId="3" xfId="0" applyFont="1" applyFill="1" applyBorder="1" applyAlignment="1">
      <alignment horizontal="center" vertical="center" wrapText="1"/>
    </xf>
    <xf numFmtId="0" fontId="2" fillId="3" borderId="34" xfId="0" applyFont="1" applyFill="1" applyBorder="1" applyAlignment="1">
      <alignment horizontal="center" vertical="center" wrapText="1"/>
    </xf>
    <xf numFmtId="0" fontId="2" fillId="3" borderId="38"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34" xfId="0" applyFont="1" applyFill="1" applyBorder="1" applyAlignment="1">
      <alignment horizontal="center" vertical="top" wrapText="1"/>
    </xf>
    <xf numFmtId="0" fontId="22" fillId="3" borderId="38" xfId="1" applyFont="1" applyFill="1" applyBorder="1" applyAlignment="1">
      <alignment horizontal="center" vertical="center" wrapText="1"/>
    </xf>
    <xf numFmtId="0" fontId="22" fillId="3" borderId="3" xfId="1" applyFont="1" applyFill="1" applyBorder="1" applyAlignment="1">
      <alignment horizontal="center" vertical="center" wrapText="1"/>
    </xf>
    <xf numFmtId="0" fontId="22" fillId="3" borderId="38" xfId="1" applyFont="1" applyFill="1" applyBorder="1" applyAlignment="1">
      <alignment horizontal="left" vertical="top" wrapText="1"/>
    </xf>
    <xf numFmtId="0" fontId="22" fillId="3" borderId="3" xfId="1" applyFont="1" applyFill="1" applyBorder="1" applyAlignment="1">
      <alignment horizontal="left" vertical="top" wrapText="1"/>
    </xf>
    <xf numFmtId="0" fontId="22" fillId="3" borderId="38" xfId="1" applyFont="1" applyFill="1" applyBorder="1" applyAlignment="1">
      <alignment horizontal="center" vertical="top" wrapText="1"/>
    </xf>
    <xf numFmtId="0" fontId="22" fillId="3" borderId="3" xfId="1" applyFont="1" applyFill="1" applyBorder="1" applyAlignment="1">
      <alignment horizontal="center" vertical="top" wrapText="1"/>
    </xf>
    <xf numFmtId="9" fontId="2" fillId="3" borderId="38" xfId="0" applyNumberFormat="1" applyFont="1" applyFill="1" applyBorder="1" applyAlignment="1">
      <alignment horizontal="center" vertical="center" wrapText="1"/>
    </xf>
    <xf numFmtId="9" fontId="2" fillId="3" borderId="3" xfId="0" applyNumberFormat="1" applyFont="1" applyFill="1" applyBorder="1" applyAlignment="1">
      <alignment horizontal="center" vertical="center" wrapText="1"/>
    </xf>
    <xf numFmtId="9" fontId="2" fillId="3" borderId="34" xfId="0" applyNumberFormat="1" applyFont="1" applyFill="1" applyBorder="1" applyAlignment="1">
      <alignment horizontal="center" vertical="center" wrapText="1"/>
    </xf>
    <xf numFmtId="0" fontId="2" fillId="3" borderId="39" xfId="0" applyFont="1" applyFill="1" applyBorder="1" applyAlignment="1">
      <alignment horizontal="left" vertical="center" wrapText="1"/>
    </xf>
    <xf numFmtId="0" fontId="35" fillId="3" borderId="3" xfId="0" applyFont="1" applyFill="1" applyBorder="1" applyAlignment="1">
      <alignment vertical="top" wrapText="1"/>
    </xf>
    <xf numFmtId="0" fontId="35" fillId="3" borderId="34" xfId="0" applyFont="1" applyFill="1" applyBorder="1" applyAlignment="1">
      <alignment vertical="top" wrapText="1"/>
    </xf>
    <xf numFmtId="0" fontId="22" fillId="3" borderId="34" xfId="1" applyFont="1" applyFill="1" applyBorder="1" applyAlignment="1">
      <alignment horizontal="center" vertical="center" wrapText="1"/>
    </xf>
    <xf numFmtId="0" fontId="22" fillId="3" borderId="38" xfId="1" applyFont="1" applyFill="1" applyBorder="1" applyAlignment="1">
      <alignment horizontal="left" vertical="center" wrapText="1"/>
    </xf>
    <xf numFmtId="0" fontId="22" fillId="3" borderId="3" xfId="1" applyFont="1" applyFill="1" applyBorder="1" applyAlignment="1">
      <alignment horizontal="left" vertical="center" wrapText="1"/>
    </xf>
    <xf numFmtId="0" fontId="22" fillId="3" borderId="34" xfId="1" applyFont="1" applyFill="1" applyBorder="1" applyAlignment="1">
      <alignment horizontal="left" vertical="center" wrapText="1"/>
    </xf>
    <xf numFmtId="9" fontId="22" fillId="3" borderId="38" xfId="56" applyFont="1" applyFill="1" applyBorder="1" applyAlignment="1">
      <alignment horizontal="center" vertical="center" wrapText="1"/>
    </xf>
    <xf numFmtId="9" fontId="22" fillId="3" borderId="3" xfId="56" applyFont="1" applyFill="1" applyBorder="1" applyAlignment="1">
      <alignment horizontal="center" vertical="center" wrapText="1"/>
    </xf>
    <xf numFmtId="9" fontId="22" fillId="3" borderId="34" xfId="56" applyFont="1" applyFill="1" applyBorder="1" applyAlignment="1">
      <alignment horizontal="center" vertical="center" wrapText="1"/>
    </xf>
    <xf numFmtId="0" fontId="22" fillId="3" borderId="34" xfId="1" applyFont="1" applyFill="1" applyBorder="1" applyAlignment="1">
      <alignment horizontal="left" vertical="top" wrapText="1"/>
    </xf>
    <xf numFmtId="0" fontId="0" fillId="46" borderId="41" xfId="0" applyFill="1" applyBorder="1" applyAlignment="1">
      <alignment horizontal="left" vertical="center" wrapText="1"/>
    </xf>
    <xf numFmtId="0" fontId="0" fillId="46" borderId="42" xfId="0" applyFill="1" applyBorder="1" applyAlignment="1">
      <alignment horizontal="left" vertical="center" wrapText="1"/>
    </xf>
    <xf numFmtId="0" fontId="0" fillId="46" borderId="0" xfId="0" applyFill="1" applyAlignment="1">
      <alignment horizontal="left" vertical="center" wrapText="1"/>
    </xf>
    <xf numFmtId="9" fontId="21" fillId="46" borderId="39" xfId="56" applyFont="1" applyFill="1" applyBorder="1" applyAlignment="1">
      <alignment horizontal="center" vertical="center" wrapText="1"/>
    </xf>
    <xf numFmtId="0" fontId="21" fillId="46" borderId="39" xfId="1" applyFont="1" applyFill="1" applyBorder="1" applyAlignment="1">
      <alignment horizontal="left" vertical="center" wrapText="1"/>
    </xf>
    <xf numFmtId="0" fontId="35" fillId="3" borderId="3" xfId="0" applyFont="1" applyFill="1" applyBorder="1" applyAlignment="1">
      <alignment horizontal="center" vertical="center" wrapText="1"/>
    </xf>
    <xf numFmtId="0" fontId="35" fillId="3" borderId="34" xfId="0" applyFont="1" applyFill="1" applyBorder="1" applyAlignment="1">
      <alignment horizontal="center" vertical="center" wrapText="1"/>
    </xf>
    <xf numFmtId="0" fontId="35" fillId="3" borderId="3" xfId="0" applyFont="1" applyFill="1" applyBorder="1" applyAlignment="1">
      <alignment horizontal="left" vertical="center" wrapText="1"/>
    </xf>
    <xf numFmtId="0" fontId="35" fillId="3" borderId="34" xfId="0" applyFont="1" applyFill="1" applyBorder="1" applyAlignment="1">
      <alignment horizontal="left" vertical="center" wrapText="1"/>
    </xf>
    <xf numFmtId="0" fontId="22" fillId="3" borderId="38" xfId="0" applyFont="1" applyFill="1" applyBorder="1" applyAlignment="1">
      <alignment horizontal="left" vertical="top" wrapText="1"/>
    </xf>
    <xf numFmtId="0" fontId="22" fillId="3" borderId="3" xfId="0" applyFont="1" applyFill="1" applyBorder="1" applyAlignment="1">
      <alignment horizontal="left" vertical="top" wrapText="1"/>
    </xf>
    <xf numFmtId="0" fontId="22" fillId="3" borderId="34" xfId="0" applyFont="1" applyFill="1" applyBorder="1" applyAlignment="1">
      <alignment horizontal="left" vertical="top" wrapText="1"/>
    </xf>
    <xf numFmtId="9" fontId="21" fillId="46" borderId="34" xfId="56" applyFont="1" applyFill="1" applyBorder="1" applyAlignment="1">
      <alignment horizontal="center" vertical="center" wrapText="1"/>
    </xf>
    <xf numFmtId="164" fontId="21" fillId="46" borderId="38" xfId="1" applyNumberFormat="1" applyFont="1" applyFill="1" applyBorder="1" applyAlignment="1">
      <alignment horizontal="center" vertical="center" wrapText="1"/>
    </xf>
    <xf numFmtId="164" fontId="21" fillId="46" borderId="3" xfId="1" applyNumberFormat="1" applyFont="1" applyFill="1" applyBorder="1" applyAlignment="1">
      <alignment horizontal="center" vertical="center" wrapText="1"/>
    </xf>
    <xf numFmtId="164" fontId="21" fillId="46" borderId="34" xfId="1" applyNumberFormat="1" applyFont="1" applyFill="1" applyBorder="1" applyAlignment="1">
      <alignment horizontal="center" vertical="center" wrapText="1"/>
    </xf>
    <xf numFmtId="0" fontId="22" fillId="45" borderId="7" xfId="1" applyFont="1" applyFill="1" applyBorder="1" applyAlignment="1">
      <alignment horizontal="left" vertical="center"/>
    </xf>
    <xf numFmtId="0" fontId="22" fillId="45" borderId="4" xfId="1" applyFont="1" applyFill="1" applyBorder="1" applyAlignment="1">
      <alignment horizontal="left" vertical="center"/>
    </xf>
    <xf numFmtId="0" fontId="2" fillId="3" borderId="40" xfId="0" applyFont="1" applyFill="1" applyBorder="1" applyAlignment="1">
      <alignment vertical="top" wrapText="1"/>
    </xf>
    <xf numFmtId="0" fontId="2" fillId="3" borderId="30" xfId="0" applyFont="1" applyFill="1" applyBorder="1" applyAlignment="1">
      <alignment vertical="top" wrapText="1"/>
    </xf>
    <xf numFmtId="0" fontId="2" fillId="3" borderId="32" xfId="0" applyFont="1" applyFill="1" applyBorder="1" applyAlignment="1">
      <alignment vertical="top" wrapText="1"/>
    </xf>
    <xf numFmtId="0" fontId="2" fillId="3" borderId="42" xfId="0" applyFont="1" applyFill="1" applyBorder="1" applyAlignment="1">
      <alignment horizontal="center" vertical="center" wrapText="1"/>
    </xf>
    <xf numFmtId="0" fontId="35" fillId="3" borderId="27" xfId="0" applyFont="1" applyFill="1" applyBorder="1" applyAlignment="1">
      <alignment horizontal="center" vertical="center" wrapText="1"/>
    </xf>
    <xf numFmtId="0" fontId="35" fillId="3" borderId="3" xfId="0" applyFont="1" applyFill="1" applyBorder="1" applyAlignment="1">
      <alignment vertical="center" wrapText="1"/>
    </xf>
    <xf numFmtId="1" fontId="2" fillId="3" borderId="39" xfId="0" applyNumberFormat="1" applyFont="1" applyFill="1" applyBorder="1" applyAlignment="1">
      <alignment horizontal="center" vertical="center" wrapText="1"/>
    </xf>
    <xf numFmtId="0" fontId="2" fillId="3" borderId="39" xfId="0" applyFont="1" applyFill="1" applyBorder="1" applyAlignment="1">
      <alignment vertical="top" wrapText="1"/>
    </xf>
    <xf numFmtId="0" fontId="2" fillId="3" borderId="39" xfId="0" applyFont="1" applyFill="1" applyBorder="1" applyAlignment="1">
      <alignment horizontal="center" vertical="top"/>
    </xf>
    <xf numFmtId="0" fontId="2" fillId="3" borderId="3" xfId="0" applyFont="1" applyFill="1" applyBorder="1" applyAlignment="1">
      <alignment horizontal="center" vertical="top"/>
    </xf>
    <xf numFmtId="0" fontId="2" fillId="3" borderId="34" xfId="0" applyFont="1" applyFill="1" applyBorder="1" applyAlignment="1">
      <alignment horizontal="center" vertical="top"/>
    </xf>
    <xf numFmtId="4" fontId="2" fillId="3" borderId="38" xfId="0" applyNumberFormat="1" applyFont="1" applyFill="1" applyBorder="1" applyAlignment="1">
      <alignment horizontal="center" vertical="top" wrapText="1"/>
    </xf>
    <xf numFmtId="4" fontId="2" fillId="3" borderId="3" xfId="0" applyNumberFormat="1" applyFont="1" applyFill="1" applyBorder="1" applyAlignment="1">
      <alignment horizontal="center" vertical="top"/>
    </xf>
    <xf numFmtId="4" fontId="2" fillId="3" borderId="34" xfId="0" applyNumberFormat="1" applyFont="1" applyFill="1" applyBorder="1" applyAlignment="1">
      <alignment horizontal="center" vertical="top"/>
    </xf>
    <xf numFmtId="166" fontId="2" fillId="3" borderId="38" xfId="0" applyNumberFormat="1" applyFont="1" applyFill="1" applyBorder="1" applyAlignment="1">
      <alignment horizontal="center" vertical="top"/>
    </xf>
    <xf numFmtId="0" fontId="2" fillId="3" borderId="31" xfId="0" applyFont="1" applyFill="1" applyBorder="1" applyAlignment="1">
      <alignment horizontal="center" vertical="center" wrapText="1"/>
    </xf>
    <xf numFmtId="0" fontId="35" fillId="3" borderId="33" xfId="0" applyFont="1" applyFill="1" applyBorder="1" applyAlignment="1">
      <alignment horizontal="center" vertical="center" wrapText="1"/>
    </xf>
    <xf numFmtId="0" fontId="2" fillId="3" borderId="38" xfId="1" applyFont="1" applyFill="1" applyBorder="1" applyAlignment="1">
      <alignment horizontal="left" vertical="center" wrapText="1"/>
    </xf>
    <xf numFmtId="0" fontId="2" fillId="3" borderId="3" xfId="1" applyFont="1" applyFill="1" applyBorder="1" applyAlignment="1">
      <alignment horizontal="left" vertical="center" wrapText="1"/>
    </xf>
    <xf numFmtId="0" fontId="2" fillId="3" borderId="34" xfId="1" applyFont="1" applyFill="1" applyBorder="1" applyAlignment="1">
      <alignment horizontal="left" vertical="center" wrapText="1"/>
    </xf>
    <xf numFmtId="0" fontId="2" fillId="3" borderId="38" xfId="1" applyFont="1" applyFill="1" applyBorder="1" applyAlignment="1">
      <alignment horizontal="center" vertical="center" wrapText="1"/>
    </xf>
    <xf numFmtId="0" fontId="2" fillId="3" borderId="3" xfId="1" applyFont="1" applyFill="1" applyBorder="1" applyAlignment="1">
      <alignment horizontal="center" vertical="center" wrapText="1"/>
    </xf>
    <xf numFmtId="0" fontId="2" fillId="3" borderId="34" xfId="1" applyFont="1" applyFill="1" applyBorder="1" applyAlignment="1">
      <alignment horizontal="center" vertical="center" wrapText="1"/>
    </xf>
    <xf numFmtId="164" fontId="2" fillId="3" borderId="38" xfId="1" applyNumberFormat="1" applyFont="1" applyFill="1" applyBorder="1" applyAlignment="1">
      <alignment horizontal="center" vertical="center" wrapText="1"/>
    </xf>
    <xf numFmtId="164" fontId="2" fillId="3" borderId="3" xfId="1" applyNumberFormat="1" applyFont="1" applyFill="1" applyBorder="1" applyAlignment="1">
      <alignment horizontal="center" vertical="center" wrapText="1"/>
    </xf>
    <xf numFmtId="164" fontId="2" fillId="3" borderId="34" xfId="1" applyNumberFormat="1" applyFont="1" applyFill="1" applyBorder="1" applyAlignment="1">
      <alignment horizontal="center" vertical="center" wrapText="1"/>
    </xf>
    <xf numFmtId="9" fontId="2" fillId="3" borderId="38" xfId="56" applyFont="1" applyFill="1" applyBorder="1" applyAlignment="1">
      <alignment horizontal="center" vertical="center" wrapText="1"/>
    </xf>
    <xf numFmtId="9" fontId="2" fillId="3" borderId="3" xfId="56" applyFont="1" applyFill="1" applyBorder="1" applyAlignment="1">
      <alignment horizontal="center" vertical="center" wrapText="1"/>
    </xf>
    <xf numFmtId="9" fontId="2" fillId="3" borderId="34" xfId="56" applyFont="1" applyFill="1" applyBorder="1" applyAlignment="1">
      <alignment horizontal="center" vertical="center" wrapText="1"/>
    </xf>
    <xf numFmtId="0" fontId="2" fillId="3" borderId="38" xfId="1" applyFont="1" applyFill="1" applyBorder="1" applyAlignment="1">
      <alignment vertical="center" wrapText="1"/>
    </xf>
    <xf numFmtId="0" fontId="2" fillId="3" borderId="3" xfId="1" applyFont="1" applyFill="1" applyBorder="1" applyAlignment="1">
      <alignment vertical="center" wrapText="1"/>
    </xf>
    <xf numFmtId="0" fontId="2" fillId="3" borderId="34" xfId="1" applyFont="1" applyFill="1" applyBorder="1" applyAlignment="1">
      <alignment vertical="center" wrapText="1"/>
    </xf>
    <xf numFmtId="0" fontId="82" fillId="41" borderId="38" xfId="81" applyFont="1" applyFill="1" applyBorder="1" applyAlignment="1">
      <alignment horizontal="center" vertical="center" wrapText="1"/>
    </xf>
    <xf numFmtId="0" fontId="82" fillId="41" borderId="3" xfId="81" applyFont="1" applyFill="1" applyBorder="1" applyAlignment="1">
      <alignment horizontal="center" vertical="center"/>
    </xf>
    <xf numFmtId="0" fontId="82" fillId="41" borderId="34" xfId="81" applyFont="1" applyFill="1" applyBorder="1" applyAlignment="1">
      <alignment horizontal="center" vertical="center"/>
    </xf>
    <xf numFmtId="0" fontId="82" fillId="41" borderId="38" xfId="81" applyFont="1" applyFill="1" applyBorder="1" applyAlignment="1">
      <alignment horizontal="center" wrapText="1"/>
    </xf>
    <xf numFmtId="0" fontId="82" fillId="41" borderId="3" xfId="81" applyFont="1" applyFill="1" applyBorder="1" applyAlignment="1">
      <alignment horizontal="center"/>
    </xf>
    <xf numFmtId="0" fontId="82" fillId="41" borderId="34" xfId="81" applyFont="1" applyFill="1" applyBorder="1" applyAlignment="1">
      <alignment horizontal="center"/>
    </xf>
    <xf numFmtId="9" fontId="2" fillId="3" borderId="38" xfId="51" applyNumberFormat="1" applyFont="1" applyFill="1" applyBorder="1" applyAlignment="1">
      <alignment horizontal="center" vertical="center" wrapText="1"/>
    </xf>
    <xf numFmtId="0" fontId="2" fillId="3" borderId="3" xfId="51" applyFont="1" applyFill="1" applyBorder="1" applyAlignment="1">
      <alignment horizontal="center" vertical="center" wrapText="1"/>
    </xf>
    <xf numFmtId="0" fontId="2" fillId="3" borderId="34" xfId="51" applyFont="1" applyFill="1" applyBorder="1" applyAlignment="1">
      <alignment horizontal="center" vertical="center" wrapText="1"/>
    </xf>
    <xf numFmtId="0" fontId="34" fillId="3" borderId="38" xfId="0" applyFont="1" applyFill="1" applyBorder="1" applyAlignment="1">
      <alignment horizontal="left" vertical="center" wrapText="1"/>
    </xf>
    <xf numFmtId="0" fontId="34" fillId="3" borderId="3" xfId="0" applyFont="1" applyFill="1" applyBorder="1" applyAlignment="1">
      <alignment horizontal="left" vertical="center" wrapText="1"/>
    </xf>
    <xf numFmtId="0" fontId="34" fillId="3" borderId="34" xfId="0" applyFont="1" applyFill="1" applyBorder="1" applyAlignment="1">
      <alignment horizontal="left" vertical="center" wrapText="1"/>
    </xf>
    <xf numFmtId="0" fontId="46" fillId="3" borderId="38" xfId="51" applyFont="1" applyFill="1" applyBorder="1" applyAlignment="1">
      <alignment horizontal="center" vertical="center"/>
    </xf>
    <xf numFmtId="0" fontId="46" fillId="3" borderId="3" xfId="51" applyFont="1" applyFill="1" applyBorder="1" applyAlignment="1">
      <alignment horizontal="center" vertical="center"/>
    </xf>
    <xf numFmtId="0" fontId="46" fillId="3" borderId="34" xfId="51" applyFont="1" applyFill="1" applyBorder="1" applyAlignment="1">
      <alignment horizontal="center" vertical="center"/>
    </xf>
    <xf numFmtId="0" fontId="2" fillId="3" borderId="39" xfId="51" applyFont="1" applyFill="1" applyBorder="1" applyAlignment="1">
      <alignment horizontal="left" vertical="center" wrapText="1"/>
    </xf>
    <xf numFmtId="0" fontId="2" fillId="3" borderId="39" xfId="51" applyFont="1" applyFill="1" applyBorder="1" applyAlignment="1">
      <alignment horizontal="center" vertical="center" wrapText="1"/>
    </xf>
    <xf numFmtId="164" fontId="2" fillId="3" borderId="39" xfId="51" applyNumberFormat="1" applyFont="1" applyFill="1" applyBorder="1" applyAlignment="1">
      <alignment horizontal="center" vertical="center" wrapText="1"/>
    </xf>
    <xf numFmtId="0" fontId="2" fillId="3" borderId="38" xfId="51" applyFont="1" applyFill="1" applyBorder="1" applyAlignment="1">
      <alignment horizontal="left" vertical="center" wrapText="1"/>
    </xf>
    <xf numFmtId="0" fontId="2" fillId="3" borderId="3" xfId="51" applyFont="1" applyFill="1" applyBorder="1" applyAlignment="1">
      <alignment horizontal="left" vertical="center" wrapText="1"/>
    </xf>
    <xf numFmtId="0" fontId="2" fillId="3" borderId="34" xfId="51" applyFont="1" applyFill="1" applyBorder="1" applyAlignment="1">
      <alignment horizontal="left" vertical="center" wrapText="1"/>
    </xf>
    <xf numFmtId="0" fontId="2" fillId="41" borderId="39" xfId="76" applyFont="1" applyFill="1" applyBorder="1" applyAlignment="1">
      <alignment horizontal="center" vertical="center" wrapText="1"/>
    </xf>
    <xf numFmtId="164" fontId="2" fillId="41" borderId="39" xfId="76" applyNumberFormat="1" applyFont="1" applyFill="1" applyBorder="1" applyAlignment="1">
      <alignment horizontal="center" vertical="center" wrapText="1"/>
    </xf>
    <xf numFmtId="0" fontId="2" fillId="3" borderId="38" xfId="51" applyFont="1" applyFill="1" applyBorder="1" applyAlignment="1">
      <alignment horizontal="center" vertical="center" wrapText="1"/>
    </xf>
    <xf numFmtId="0" fontId="2" fillId="41" borderId="38" xfId="51" applyFont="1" applyFill="1" applyBorder="1" applyAlignment="1">
      <alignment horizontal="center" vertical="center" wrapText="1"/>
    </xf>
    <xf numFmtId="0" fontId="2" fillId="41" borderId="3" xfId="51" applyFont="1" applyFill="1" applyBorder="1" applyAlignment="1">
      <alignment horizontal="center" vertical="center" wrapText="1"/>
    </xf>
    <xf numFmtId="0" fontId="2" fillId="41" borderId="34" xfId="51" applyFont="1" applyFill="1" applyBorder="1" applyAlignment="1">
      <alignment horizontal="center" vertical="center" wrapText="1"/>
    </xf>
    <xf numFmtId="164" fontId="2" fillId="41" borderId="38" xfId="51" applyNumberFormat="1" applyFont="1" applyFill="1" applyBorder="1" applyAlignment="1">
      <alignment horizontal="center" vertical="center" wrapText="1"/>
    </xf>
    <xf numFmtId="164" fontId="2" fillId="41" borderId="3" xfId="51" applyNumberFormat="1" applyFont="1" applyFill="1" applyBorder="1" applyAlignment="1">
      <alignment horizontal="center" vertical="center" wrapText="1"/>
    </xf>
    <xf numFmtId="164" fontId="2" fillId="41" borderId="34" xfId="51" applyNumberFormat="1" applyFont="1" applyFill="1" applyBorder="1" applyAlignment="1">
      <alignment horizontal="center" vertical="center" wrapText="1"/>
    </xf>
    <xf numFmtId="0" fontId="34" fillId="3" borderId="38" xfId="0" applyFont="1" applyFill="1" applyBorder="1" applyAlignment="1">
      <alignment horizontal="left" vertical="top" wrapText="1"/>
    </xf>
    <xf numFmtId="0" fontId="34" fillId="3" borderId="3" xfId="0" applyFont="1" applyFill="1" applyBorder="1" applyAlignment="1">
      <alignment horizontal="left" vertical="top" wrapText="1"/>
    </xf>
    <xf numFmtId="0" fontId="34" fillId="3" borderId="34" xfId="0" applyFont="1" applyFill="1" applyBorder="1" applyAlignment="1">
      <alignment horizontal="left" vertical="top" wrapText="1"/>
    </xf>
    <xf numFmtId="0" fontId="21" fillId="46" borderId="0" xfId="1" applyFont="1" applyFill="1" applyAlignment="1">
      <alignment horizontal="left" vertical="center" wrapText="1"/>
    </xf>
    <xf numFmtId="0" fontId="21" fillId="46" borderId="37" xfId="1" applyFont="1" applyFill="1" applyBorder="1" applyAlignment="1">
      <alignment horizontal="left" vertical="center" wrapText="1"/>
    </xf>
    <xf numFmtId="0" fontId="21" fillId="46" borderId="36" xfId="1" applyFont="1" applyFill="1" applyBorder="1" applyAlignment="1">
      <alignment horizontal="left" vertical="center" wrapText="1"/>
    </xf>
    <xf numFmtId="0" fontId="21" fillId="46" borderId="35" xfId="1" applyFont="1" applyFill="1" applyBorder="1" applyAlignment="1">
      <alignment horizontal="left" vertical="center" wrapText="1"/>
    </xf>
    <xf numFmtId="0" fontId="21" fillId="46" borderId="38" xfId="1" applyFont="1" applyFill="1" applyBorder="1" applyAlignment="1">
      <alignment horizontal="center" vertical="center" wrapText="1"/>
    </xf>
    <xf numFmtId="0" fontId="21" fillId="46" borderId="3" xfId="1" applyFont="1" applyFill="1" applyBorder="1" applyAlignment="1">
      <alignment horizontal="center" vertical="center" wrapText="1"/>
    </xf>
    <xf numFmtId="0" fontId="21" fillId="46" borderId="34" xfId="1" applyFont="1" applyFill="1" applyBorder="1" applyAlignment="1">
      <alignment horizontal="center" vertical="center" wrapText="1"/>
    </xf>
    <xf numFmtId="0" fontId="22" fillId="47" borderId="6" xfId="1" applyFont="1" applyFill="1" applyBorder="1" applyAlignment="1">
      <alignment horizontal="left" vertical="center" wrapText="1"/>
    </xf>
    <xf numFmtId="0" fontId="0" fillId="0" borderId="7" xfId="0" applyBorder="1" applyAlignment="1">
      <alignment horizontal="left" vertical="center" wrapText="1"/>
    </xf>
    <xf numFmtId="0" fontId="0" fillId="0" borderId="4" xfId="0" applyBorder="1" applyAlignment="1">
      <alignment horizontal="left" vertical="center" wrapText="1"/>
    </xf>
    <xf numFmtId="0" fontId="22" fillId="47" borderId="7" xfId="1" applyFont="1" applyFill="1" applyBorder="1" applyAlignment="1">
      <alignment horizontal="left" vertical="center" wrapText="1"/>
    </xf>
    <xf numFmtId="0" fontId="22" fillId="47" borderId="4" xfId="1" applyFont="1" applyFill="1" applyBorder="1" applyAlignment="1">
      <alignment horizontal="left" vertical="center" wrapText="1"/>
    </xf>
    <xf numFmtId="0" fontId="2" fillId="3" borderId="39" xfId="0" applyFont="1" applyFill="1" applyBorder="1" applyAlignment="1">
      <alignment vertical="center" wrapText="1"/>
    </xf>
    <xf numFmtId="164" fontId="2" fillId="3" borderId="39" xfId="0" applyNumberFormat="1" applyFont="1" applyFill="1" applyBorder="1" applyAlignment="1">
      <alignment horizontal="center" vertical="center" wrapText="1"/>
    </xf>
    <xf numFmtId="166" fontId="2" fillId="3" borderId="39" xfId="0" applyNumberFormat="1" applyFont="1" applyFill="1" applyBorder="1" applyAlignment="1">
      <alignment horizontal="center" vertical="center"/>
    </xf>
    <xf numFmtId="0" fontId="2" fillId="3" borderId="39" xfId="0" applyFont="1" applyFill="1" applyBorder="1" applyAlignment="1">
      <alignment horizontal="center" vertical="center"/>
    </xf>
    <xf numFmtId="0" fontId="22" fillId="3" borderId="39" xfId="0" applyFont="1" applyFill="1" applyBorder="1" applyAlignment="1">
      <alignment horizontal="left" vertical="center" wrapText="1"/>
    </xf>
    <xf numFmtId="0" fontId="22" fillId="3" borderId="39" xfId="0" applyFont="1" applyFill="1" applyBorder="1" applyAlignment="1">
      <alignment horizontal="left" vertical="top" wrapText="1"/>
    </xf>
    <xf numFmtId="0" fontId="2" fillId="3" borderId="38" xfId="0" applyFont="1" applyFill="1" applyBorder="1" applyAlignment="1">
      <alignment vertical="center" wrapText="1"/>
    </xf>
    <xf numFmtId="0" fontId="2" fillId="3" borderId="3" xfId="0" applyFont="1" applyFill="1" applyBorder="1" applyAlignment="1">
      <alignment vertical="center" wrapText="1"/>
    </xf>
    <xf numFmtId="0" fontId="2" fillId="3" borderId="34" xfId="0" applyFont="1" applyFill="1" applyBorder="1" applyAlignment="1">
      <alignment vertical="center" wrapText="1"/>
    </xf>
    <xf numFmtId="164" fontId="2" fillId="3" borderId="38" xfId="0" applyNumberFormat="1" applyFont="1" applyFill="1" applyBorder="1" applyAlignment="1">
      <alignment horizontal="center" vertical="center" wrapText="1"/>
    </xf>
    <xf numFmtId="164" fontId="2" fillId="3" borderId="3" xfId="0" applyNumberFormat="1" applyFont="1" applyFill="1" applyBorder="1" applyAlignment="1">
      <alignment horizontal="center" vertical="center" wrapText="1"/>
    </xf>
    <xf numFmtId="164" fontId="2" fillId="3" borderId="34" xfId="0" applyNumberFormat="1" applyFont="1" applyFill="1" applyBorder="1" applyAlignment="1">
      <alignment horizontal="center" vertical="center" wrapText="1"/>
    </xf>
    <xf numFmtId="0" fontId="22" fillId="3" borderId="39" xfId="1" applyFont="1" applyFill="1" applyBorder="1" applyAlignment="1">
      <alignment vertical="center" wrapText="1"/>
    </xf>
    <xf numFmtId="0" fontId="78" fillId="3" borderId="38" xfId="0" applyFont="1" applyFill="1" applyBorder="1" applyAlignment="1">
      <alignment vertical="center" wrapText="1"/>
    </xf>
    <xf numFmtId="0" fontId="78" fillId="3" borderId="3" xfId="0" applyFont="1" applyFill="1" applyBorder="1" applyAlignment="1">
      <alignment vertical="center" wrapText="1"/>
    </xf>
    <xf numFmtId="0" fontId="78" fillId="3" borderId="34" xfId="0" applyFont="1" applyFill="1" applyBorder="1" applyAlignment="1">
      <alignment vertical="center" wrapText="1"/>
    </xf>
    <xf numFmtId="0" fontId="22" fillId="3" borderId="39" xfId="0" applyFont="1" applyFill="1" applyBorder="1" applyAlignment="1">
      <alignment horizontal="center" vertical="center" wrapText="1"/>
    </xf>
    <xf numFmtId="0" fontId="22" fillId="3" borderId="39" xfId="0" applyFont="1" applyFill="1" applyBorder="1" applyAlignment="1">
      <alignment vertical="center" wrapText="1"/>
    </xf>
    <xf numFmtId="4" fontId="22" fillId="3" borderId="39" xfId="0" applyNumberFormat="1" applyFont="1" applyFill="1" applyBorder="1" applyAlignment="1">
      <alignment horizontal="center" vertical="center" wrapText="1"/>
    </xf>
    <xf numFmtId="9" fontId="22" fillId="3" borderId="39" xfId="0" applyNumberFormat="1" applyFont="1" applyFill="1" applyBorder="1" applyAlignment="1">
      <alignment horizontal="center" vertical="center"/>
    </xf>
    <xf numFmtId="49" fontId="2" fillId="3" borderId="39" xfId="64" applyNumberFormat="1" applyFont="1" applyFill="1" applyBorder="1" applyAlignment="1">
      <alignment horizontal="center" vertical="center"/>
    </xf>
    <xf numFmtId="9" fontId="22" fillId="41" borderId="39" xfId="0" applyNumberFormat="1" applyFont="1" applyFill="1" applyBorder="1" applyAlignment="1">
      <alignment horizontal="center" vertical="center"/>
    </xf>
    <xf numFmtId="164" fontId="22" fillId="3" borderId="39" xfId="0" applyNumberFormat="1" applyFont="1" applyFill="1" applyBorder="1" applyAlignment="1">
      <alignment horizontal="center" vertical="center" wrapText="1"/>
    </xf>
    <xf numFmtId="0" fontId="22" fillId="47" borderId="39" xfId="1" applyFont="1" applyFill="1" applyBorder="1" applyAlignment="1">
      <alignment horizontal="left" vertical="center" wrapText="1"/>
    </xf>
    <xf numFmtId="16" fontId="22" fillId="3" borderId="39" xfId="1" applyNumberFormat="1" applyFont="1" applyFill="1" applyBorder="1" applyAlignment="1">
      <alignment horizontal="center" vertical="center" wrapText="1"/>
    </xf>
    <xf numFmtId="9" fontId="87" fillId="41" borderId="39" xfId="0" applyNumberFormat="1" applyFont="1" applyFill="1" applyBorder="1" applyAlignment="1">
      <alignment horizontal="center" vertical="center"/>
    </xf>
    <xf numFmtId="9" fontId="22" fillId="41" borderId="39" xfId="72" applyNumberFormat="1" applyFont="1" applyFill="1" applyBorder="1" applyAlignment="1">
      <alignment horizontal="center" vertical="center" wrapText="1"/>
    </xf>
    <xf numFmtId="0" fontId="22" fillId="45" borderId="39" xfId="1" applyFont="1" applyFill="1" applyBorder="1" applyAlignment="1">
      <alignment horizontal="left" vertical="center"/>
    </xf>
    <xf numFmtId="0" fontId="0" fillId="0" borderId="39" xfId="0" applyBorder="1" applyAlignment="1">
      <alignment horizontal="left" vertical="center"/>
    </xf>
    <xf numFmtId="0" fontId="22" fillId="3" borderId="39" xfId="1" applyNumberFormat="1" applyFont="1" applyFill="1" applyBorder="1" applyAlignment="1">
      <alignment horizontal="center" vertical="center" wrapText="1"/>
    </xf>
    <xf numFmtId="9" fontId="87" fillId="41" borderId="39" xfId="64" applyNumberFormat="1" applyFont="1" applyFill="1" applyBorder="1" applyAlignment="1">
      <alignment horizontal="center" vertical="center" wrapText="1"/>
    </xf>
    <xf numFmtId="9" fontId="22" fillId="41" borderId="39" xfId="64" applyNumberFormat="1" applyFont="1" applyFill="1" applyBorder="1" applyAlignment="1">
      <alignment horizontal="center" vertical="center"/>
    </xf>
    <xf numFmtId="9" fontId="22" fillId="50" borderId="39" xfId="86" applyNumberFormat="1" applyFont="1" applyFill="1" applyBorder="1" applyAlignment="1">
      <alignment horizontal="center" vertical="center" wrapText="1"/>
    </xf>
    <xf numFmtId="9" fontId="22" fillId="3" borderId="39" xfId="64" applyNumberFormat="1" applyFont="1" applyFill="1" applyBorder="1" applyAlignment="1">
      <alignment horizontal="center" vertical="center"/>
    </xf>
    <xf numFmtId="9" fontId="22" fillId="3" borderId="39" xfId="86" applyNumberFormat="1" applyFont="1" applyFill="1" applyBorder="1" applyAlignment="1">
      <alignment horizontal="center" vertical="center" wrapText="1"/>
    </xf>
    <xf numFmtId="9" fontId="87" fillId="3" borderId="39" xfId="64" applyNumberFormat="1" applyFont="1" applyFill="1" applyBorder="1" applyAlignment="1">
      <alignment horizontal="center" vertical="center" wrapText="1"/>
    </xf>
    <xf numFmtId="9" fontId="22" fillId="3" borderId="39" xfId="0" applyNumberFormat="1" applyFont="1" applyFill="1" applyBorder="1" applyAlignment="1">
      <alignment horizontal="center" wrapText="1"/>
    </xf>
    <xf numFmtId="164" fontId="22" fillId="41" borderId="39" xfId="1" applyNumberFormat="1" applyFont="1" applyFill="1" applyBorder="1" applyAlignment="1">
      <alignment horizontal="center" vertical="center" wrapText="1"/>
    </xf>
    <xf numFmtId="0" fontId="2" fillId="41" borderId="39" xfId="0" applyFont="1" applyFill="1" applyBorder="1" applyAlignment="1">
      <alignment horizontal="center" vertical="center" wrapText="1"/>
    </xf>
    <xf numFmtId="0" fontId="35" fillId="3" borderId="39" xfId="75" applyNumberFormat="1" applyFont="1" applyFill="1" applyBorder="1" applyAlignment="1">
      <alignment horizontal="center" vertical="center"/>
    </xf>
    <xf numFmtId="0" fontId="22" fillId="3" borderId="39" xfId="0" applyNumberFormat="1" applyFont="1" applyFill="1" applyBorder="1" applyAlignment="1">
      <alignment horizontal="center" vertical="center" wrapText="1"/>
    </xf>
    <xf numFmtId="4" fontId="22" fillId="41" borderId="39" xfId="0" applyNumberFormat="1" applyFont="1" applyFill="1" applyBorder="1" applyAlignment="1">
      <alignment horizontal="center" vertical="center" wrapText="1"/>
    </xf>
    <xf numFmtId="166" fontId="22" fillId="41" borderId="39" xfId="0" applyNumberFormat="1" applyFont="1" applyFill="1" applyBorder="1" applyAlignment="1">
      <alignment horizontal="center" vertical="center"/>
    </xf>
    <xf numFmtId="49" fontId="22" fillId="3" borderId="39" xfId="0" applyNumberFormat="1" applyFont="1" applyFill="1" applyBorder="1" applyAlignment="1">
      <alignment horizontal="center" vertical="center" wrapText="1"/>
    </xf>
    <xf numFmtId="0" fontId="22" fillId="0" borderId="39" xfId="0" applyFont="1" applyFill="1" applyBorder="1" applyAlignment="1">
      <alignment horizontal="center" vertical="center" wrapText="1"/>
    </xf>
    <xf numFmtId="164" fontId="22" fillId="0" borderId="39" xfId="0" applyNumberFormat="1" applyFont="1" applyFill="1" applyBorder="1" applyAlignment="1">
      <alignment horizontal="center" vertical="center" wrapText="1"/>
    </xf>
    <xf numFmtId="9" fontId="22" fillId="41" borderId="39" xfId="64" applyNumberFormat="1" applyFont="1" applyFill="1" applyBorder="1" applyAlignment="1">
      <alignment horizontal="center" vertical="center" wrapText="1"/>
    </xf>
    <xf numFmtId="0" fontId="22" fillId="41" borderId="39" xfId="0" applyFont="1" applyFill="1" applyBorder="1" applyAlignment="1">
      <alignment horizontal="center" vertical="center" wrapText="1"/>
    </xf>
    <xf numFmtId="4" fontId="22" fillId="0" borderId="39" xfId="0" applyNumberFormat="1" applyFont="1" applyFill="1" applyBorder="1" applyAlignment="1">
      <alignment horizontal="center" vertical="center" wrapText="1"/>
    </xf>
    <xf numFmtId="0" fontId="88" fillId="41" borderId="39" xfId="0" applyFont="1" applyFill="1" applyBorder="1" applyAlignment="1">
      <alignment horizontal="center" vertical="center" wrapText="1"/>
    </xf>
    <xf numFmtId="0" fontId="22" fillId="3" borderId="39" xfId="0" quotePrefix="1" applyFont="1" applyFill="1" applyBorder="1" applyAlignment="1">
      <alignment horizontal="center" vertical="center" wrapText="1"/>
    </xf>
    <xf numFmtId="0" fontId="0" fillId="41" borderId="39" xfId="0" applyFill="1" applyBorder="1" applyAlignment="1">
      <alignment horizontal="center" vertical="center" wrapText="1"/>
    </xf>
    <xf numFmtId="49" fontId="22" fillId="41" borderId="39" xfId="0" applyNumberFormat="1" applyFont="1" applyFill="1" applyBorder="1" applyAlignment="1">
      <alignment horizontal="center" vertical="center" wrapText="1"/>
    </xf>
    <xf numFmtId="0" fontId="0" fillId="46" borderId="39" xfId="0" applyFill="1" applyBorder="1" applyAlignment="1">
      <alignment horizontal="left" vertical="center" wrapText="1"/>
    </xf>
    <xf numFmtId="9" fontId="22" fillId="46" borderId="39" xfId="56" applyFont="1" applyFill="1" applyBorder="1" applyAlignment="1">
      <alignment horizontal="center" vertical="center"/>
    </xf>
    <xf numFmtId="0" fontId="22" fillId="46" borderId="39" xfId="1" applyFont="1" applyFill="1" applyBorder="1" applyAlignment="1">
      <alignment horizontal="center" vertical="center"/>
    </xf>
    <xf numFmtId="164" fontId="22" fillId="46" borderId="39" xfId="1" applyNumberFormat="1" applyFont="1" applyFill="1" applyBorder="1" applyAlignment="1">
      <alignment horizontal="center" vertical="center"/>
    </xf>
    <xf numFmtId="4" fontId="2" fillId="3" borderId="39" xfId="0" applyNumberFormat="1" applyFont="1" applyFill="1" applyBorder="1" applyAlignment="1">
      <alignment horizontal="center" vertical="center" wrapText="1"/>
    </xf>
    <xf numFmtId="4" fontId="2" fillId="3" borderId="39" xfId="0" applyNumberFormat="1" applyFont="1" applyFill="1" applyBorder="1" applyAlignment="1">
      <alignment horizontal="center" vertical="center"/>
    </xf>
    <xf numFmtId="0" fontId="59" fillId="3" borderId="39" xfId="0" applyFont="1" applyFill="1" applyBorder="1" applyAlignment="1">
      <alignment horizontal="center" vertical="center" wrapText="1"/>
    </xf>
    <xf numFmtId="49" fontId="2" fillId="3" borderId="39" xfId="0" applyNumberFormat="1" applyFont="1" applyFill="1" applyBorder="1" applyAlignment="1">
      <alignment horizontal="left" vertical="center" wrapText="1"/>
    </xf>
    <xf numFmtId="9" fontId="22" fillId="3" borderId="39" xfId="0" applyNumberFormat="1" applyFont="1" applyFill="1" applyBorder="1" applyAlignment="1">
      <alignment horizontal="center" vertical="center" wrapText="1"/>
    </xf>
    <xf numFmtId="9" fontId="2" fillId="3" borderId="39" xfId="0" applyNumberFormat="1" applyFont="1" applyFill="1" applyBorder="1" applyAlignment="1">
      <alignment horizontal="center" vertical="center"/>
    </xf>
    <xf numFmtId="4" fontId="2" fillId="3" borderId="39" xfId="0" applyNumberFormat="1" applyFont="1" applyFill="1" applyBorder="1" applyAlignment="1">
      <alignment horizontal="left" vertical="center" wrapText="1"/>
    </xf>
    <xf numFmtId="0" fontId="59" fillId="3" borderId="39" xfId="0" applyFont="1" applyFill="1" applyBorder="1" applyAlignment="1">
      <alignment horizontal="center" vertical="center"/>
    </xf>
    <xf numFmtId="4" fontId="59" fillId="3" borderId="39" xfId="0" applyNumberFormat="1" applyFont="1" applyFill="1" applyBorder="1" applyAlignment="1">
      <alignment horizontal="center" vertical="center" wrapText="1"/>
    </xf>
    <xf numFmtId="9" fontId="2" fillId="3" borderId="39" xfId="64" applyFont="1" applyFill="1" applyBorder="1" applyAlignment="1">
      <alignment horizontal="center" vertical="center"/>
    </xf>
    <xf numFmtId="0" fontId="2" fillId="3" borderId="39" xfId="0" applyFont="1" applyFill="1" applyBorder="1" applyAlignment="1">
      <alignment horizontal="left" vertical="top" wrapText="1"/>
    </xf>
    <xf numFmtId="164" fontId="22" fillId="46" borderId="38" xfId="1" applyNumberFormat="1" applyFont="1" applyFill="1" applyBorder="1" applyAlignment="1">
      <alignment horizontal="center" vertical="center"/>
    </xf>
    <xf numFmtId="164" fontId="22" fillId="46" borderId="3" xfId="1" applyNumberFormat="1" applyFont="1" applyFill="1" applyBorder="1" applyAlignment="1">
      <alignment horizontal="center" vertical="center"/>
    </xf>
    <xf numFmtId="164" fontId="22" fillId="46" borderId="34" xfId="1" applyNumberFormat="1" applyFont="1" applyFill="1" applyBorder="1" applyAlignment="1">
      <alignment horizontal="center" vertical="center"/>
    </xf>
    <xf numFmtId="0" fontId="22" fillId="46" borderId="38" xfId="1" applyFont="1" applyFill="1" applyBorder="1" applyAlignment="1">
      <alignment horizontal="center" vertical="center"/>
    </xf>
    <xf numFmtId="0" fontId="22" fillId="46" borderId="3" xfId="1" applyFont="1" applyFill="1" applyBorder="1" applyAlignment="1">
      <alignment horizontal="center" vertical="center"/>
    </xf>
    <xf numFmtId="0" fontId="22" fillId="46" borderId="34" xfId="1" applyFont="1" applyFill="1" applyBorder="1" applyAlignment="1">
      <alignment horizontal="center" vertical="center"/>
    </xf>
    <xf numFmtId="0" fontId="47" fillId="0" borderId="6" xfId="53" applyFont="1" applyBorder="1" applyAlignment="1">
      <alignment horizontal="center" vertical="center" wrapText="1"/>
    </xf>
    <xf numFmtId="0" fontId="47" fillId="0" borderId="7" xfId="53" applyFont="1" applyBorder="1" applyAlignment="1">
      <alignment horizontal="center" vertical="center" wrapText="1"/>
    </xf>
    <xf numFmtId="0" fontId="47" fillId="0" borderId="4" xfId="53" applyFont="1" applyBorder="1" applyAlignment="1">
      <alignment horizontal="center" vertical="center" wrapText="1"/>
    </xf>
    <xf numFmtId="0" fontId="44" fillId="0" borderId="0" xfId="53" applyFont="1" applyFill="1" applyBorder="1" applyAlignment="1">
      <alignment horizontal="center" vertical="center"/>
    </xf>
    <xf numFmtId="49" fontId="22" fillId="0" borderId="1" xfId="53" applyNumberFormat="1" applyFont="1" applyFill="1" applyBorder="1" applyAlignment="1">
      <alignment horizontal="center" vertical="center" wrapText="1"/>
    </xf>
    <xf numFmtId="0" fontId="22" fillId="0" borderId="1" xfId="53" applyFont="1" applyBorder="1" applyAlignment="1">
      <alignment horizontal="center" vertical="center" wrapText="1"/>
    </xf>
    <xf numFmtId="0" fontId="33" fillId="0" borderId="1" xfId="53" applyFont="1" applyBorder="1" applyAlignment="1">
      <alignment horizontal="center"/>
    </xf>
    <xf numFmtId="1" fontId="2" fillId="0" borderId="23" xfId="51" applyNumberFormat="1" applyFont="1" applyBorder="1" applyAlignment="1">
      <alignment horizontal="center" vertical="center"/>
    </xf>
    <xf numFmtId="1" fontId="2" fillId="0" borderId="11" xfId="51" applyNumberFormat="1" applyFont="1" applyBorder="1" applyAlignment="1">
      <alignment horizontal="center" vertical="center"/>
    </xf>
    <xf numFmtId="1" fontId="2" fillId="0" borderId="8" xfId="51" applyNumberFormat="1" applyFont="1" applyBorder="1" applyAlignment="1">
      <alignment horizontal="center" vertical="center"/>
    </xf>
    <xf numFmtId="1" fontId="2" fillId="0" borderId="25" xfId="51" applyNumberFormat="1" applyFont="1" applyBorder="1" applyAlignment="1">
      <alignment horizontal="center" vertical="center"/>
    </xf>
    <xf numFmtId="1" fontId="2" fillId="0" borderId="9" xfId="51" applyNumberFormat="1" applyFont="1" applyBorder="1" applyAlignment="1">
      <alignment horizontal="center" vertical="center"/>
    </xf>
    <xf numFmtId="1" fontId="2" fillId="0" borderId="26" xfId="51" applyNumberFormat="1" applyFont="1" applyBorder="1" applyAlignment="1">
      <alignment horizontal="center" vertical="center"/>
    </xf>
    <xf numFmtId="0" fontId="22" fillId="0" borderId="2" xfId="53" applyFont="1" applyBorder="1" applyAlignment="1">
      <alignment horizontal="center" vertical="center" wrapText="1"/>
    </xf>
    <xf numFmtId="0" fontId="22" fillId="0" borderId="5" xfId="53" applyFont="1" applyBorder="1" applyAlignment="1">
      <alignment horizontal="center" vertical="center" wrapText="1"/>
    </xf>
    <xf numFmtId="0" fontId="46" fillId="0" borderId="2" xfId="53" applyFont="1" applyBorder="1" applyAlignment="1">
      <alignment horizontal="center" vertical="center" wrapText="1"/>
    </xf>
    <xf numFmtId="0" fontId="46" fillId="0" borderId="5" xfId="53" applyFont="1" applyBorder="1" applyAlignment="1">
      <alignment horizontal="center" vertical="center" wrapText="1"/>
    </xf>
  </cellXfs>
  <cellStyles count="88">
    <cellStyle name="20% - Accent1" xfId="6"/>
    <cellStyle name="20% - Accent2" xfId="7"/>
    <cellStyle name="20% - Accent3" xfId="8"/>
    <cellStyle name="20% - Accent4" xfId="9"/>
    <cellStyle name="20% - Accent5" xfId="10"/>
    <cellStyle name="20% - Accent6" xfId="11"/>
    <cellStyle name="40% - Accent1" xfId="12"/>
    <cellStyle name="40% - Accent2" xfId="13"/>
    <cellStyle name="40% - Accent3" xfId="14"/>
    <cellStyle name="40% - Accent4" xfId="15"/>
    <cellStyle name="40% - Accent5" xfId="16"/>
    <cellStyle name="40% - Accent6" xfId="17"/>
    <cellStyle name="60% - Accent1" xfId="18"/>
    <cellStyle name="60% - Accent2" xfId="19"/>
    <cellStyle name="60% - Accent3" xfId="20"/>
    <cellStyle name="60% - Accent4" xfId="21"/>
    <cellStyle name="60% - Accent5" xfId="22"/>
    <cellStyle name="60% - Accent6" xfId="23"/>
    <cellStyle name="Accent1" xfId="24"/>
    <cellStyle name="Accent2" xfId="25"/>
    <cellStyle name="Accent3" xfId="26"/>
    <cellStyle name="Accent4" xfId="27"/>
    <cellStyle name="Accent5" xfId="28"/>
    <cellStyle name="Accent6" xfId="29"/>
    <cellStyle name="Bad" xfId="30"/>
    <cellStyle name="Calculation" xfId="31"/>
    <cellStyle name="Check Cell" xfId="32"/>
    <cellStyle name="ex67" xfId="33"/>
    <cellStyle name="ex78" xfId="66"/>
    <cellStyle name="ex83" xfId="65"/>
    <cellStyle name="ex88" xfId="68"/>
    <cellStyle name="Explanatory Text" xfId="34"/>
    <cellStyle name="Good" xfId="35"/>
    <cellStyle name="Heading 1" xfId="36"/>
    <cellStyle name="Heading 2" xfId="37"/>
    <cellStyle name="Heading 3" xfId="38"/>
    <cellStyle name="Heading 4" xfId="39"/>
    <cellStyle name="Input" xfId="40"/>
    <cellStyle name="Linked Cell" xfId="41"/>
    <cellStyle name="Neutral" xfId="42"/>
    <cellStyle name="Note" xfId="43"/>
    <cellStyle name="Output" xfId="44"/>
    <cellStyle name="Title" xfId="45"/>
    <cellStyle name="Total" xfId="46"/>
    <cellStyle name="Warning Text" xfId="47"/>
    <cellStyle name="xl28" xfId="2"/>
    <cellStyle name="xl39" xfId="3"/>
    <cellStyle name="Гиперссылка 2 10" xfId="73"/>
    <cellStyle name="Денежный" xfId="67" builtinId="4"/>
    <cellStyle name="Денежный 2" xfId="48"/>
    <cellStyle name="Обычный" xfId="0" builtinId="0"/>
    <cellStyle name="Обычный 10 10 17" xfId="87"/>
    <cellStyle name="Обычный 10 10 2 2 2 6" xfId="75"/>
    <cellStyle name="Обычный 10 10 2 2 2 6 2" xfId="84"/>
    <cellStyle name="Обычный 15" xfId="86"/>
    <cellStyle name="Обычный 2" xfId="4"/>
    <cellStyle name="Обычный 2 2" xfId="49"/>
    <cellStyle name="Обычный 2 2 2" xfId="74"/>
    <cellStyle name="Обычный 2 3" xfId="50"/>
    <cellStyle name="Обычный 20" xfId="82"/>
    <cellStyle name="Обычный 24" xfId="81"/>
    <cellStyle name="Обычный 3" xfId="51"/>
    <cellStyle name="Обычный 3 2" xfId="52"/>
    <cellStyle name="Обычный 3 3" xfId="70"/>
    <cellStyle name="Обычный 3 35 2" xfId="76"/>
    <cellStyle name="Обычный 3 35 2 2" xfId="79"/>
    <cellStyle name="Обычный 3 36" xfId="80"/>
    <cellStyle name="Обычный 4" xfId="53"/>
    <cellStyle name="Обычный 4 2" xfId="69"/>
    <cellStyle name="Обычный 5" xfId="1"/>
    <cellStyle name="Обычный 5 18 2" xfId="77"/>
    <cellStyle name="Обычный 5 18 2 2" xfId="78"/>
    <cellStyle name="Обычный 6" xfId="54"/>
    <cellStyle name="Обычный 7" xfId="85"/>
    <cellStyle name="Обычный_План реализации 2 2" xfId="71"/>
    <cellStyle name="Плохой 2" xfId="55"/>
    <cellStyle name="Процентный" xfId="64" builtinId="5"/>
    <cellStyle name="Процентный 2" xfId="5"/>
    <cellStyle name="Процентный 2 2" xfId="56"/>
    <cellStyle name="Процентный 2 2 2" xfId="72"/>
    <cellStyle name="Процентный 3" xfId="57"/>
    <cellStyle name="Процентный 4" xfId="58"/>
    <cellStyle name="Стиль 1" xfId="59"/>
    <cellStyle name="Финансовый" xfId="63" builtinId="3"/>
    <cellStyle name="Финансовый 14" xfId="83"/>
    <cellStyle name="Финансовый 2" xfId="60"/>
    <cellStyle name="Финансовый 2 2" xfId="61"/>
    <cellStyle name="Финансовый 3" xfId="62"/>
  </cellStyles>
  <dxfs count="2">
    <dxf>
      <font>
        <b/>
        <i val="0"/>
        <condense val="0"/>
        <extend val="0"/>
        <outline val="0"/>
        <shadow val="0"/>
      </font>
    </dxf>
    <dxf>
      <font>
        <b/>
        <i val="0"/>
        <condense val="0"/>
        <extend val="0"/>
        <outline val="0"/>
        <shadow val="0"/>
      </font>
    </dxf>
  </dxfs>
  <tableStyles count="0" defaultTableStyle="TableStyleMedium9" defaultPivotStyle="PivotStyleLight16"/>
  <colors>
    <mruColors>
      <color rgb="FFCCFFCC"/>
      <color rgb="FF99FF99"/>
      <color rgb="FF75DBFF"/>
      <color rgb="FFFF8181"/>
      <color rgb="FFFF5050"/>
      <color rgb="FF99FF33"/>
      <color rgb="FFEC3E3E"/>
      <color rgb="FFCCFFFF"/>
      <color rgb="FFFF00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ru-RU" sz="1400" b="1" i="0" u="none" strike="noStrike" baseline="0">
                <a:effectLst/>
              </a:rPr>
              <a:t>Динамика значений показателей по сравнению с 2018 годом </a:t>
            </a:r>
            <a:r>
              <a:rPr lang="ru-RU" sz="1400"/>
              <a:t>(К2)</a:t>
            </a:r>
          </a:p>
        </c:rich>
      </c:tx>
      <c:layout>
        <c:manualLayout>
          <c:xMode val="edge"/>
          <c:yMode val="edge"/>
          <c:x val="0.11790505217577858"/>
          <c:y val="3.0877057192047606E-2"/>
        </c:manualLayout>
      </c:layout>
      <c:overlay val="0"/>
    </c:title>
    <c:autoTitleDeleted val="0"/>
    <c:plotArea>
      <c:layout>
        <c:manualLayout>
          <c:layoutTarget val="inner"/>
          <c:xMode val="edge"/>
          <c:yMode val="edge"/>
          <c:x val="5.8669147846897224E-2"/>
          <c:y val="0.1720736438745136"/>
          <c:w val="0.35720681088386608"/>
          <c:h val="0.79489303297790215"/>
        </c:manualLayout>
      </c:layout>
      <c:doughnutChart>
        <c:varyColors val="1"/>
        <c:ser>
          <c:idx val="0"/>
          <c:order val="0"/>
          <c:spPr>
            <a:ln>
              <a:solidFill>
                <a:schemeClr val="tx1">
                  <a:lumMod val="65000"/>
                  <a:lumOff val="35000"/>
                </a:schemeClr>
              </a:solidFill>
            </a:ln>
          </c:spPr>
          <c:explosion val="5"/>
          <c:dLbls>
            <c:spPr>
              <a:solidFill>
                <a:schemeClr val="bg1"/>
              </a:solidFill>
              <a:ln>
                <a:solidFill>
                  <a:schemeClr val="tx1">
                    <a:lumMod val="65000"/>
                    <a:lumOff val="35000"/>
                  </a:schemeClr>
                </a:solidFill>
              </a:ln>
            </c:spPr>
            <c:txPr>
              <a:bodyPr/>
              <a:lstStyle/>
              <a:p>
                <a:pPr>
                  <a:defRPr sz="1100"/>
                </a:pPr>
                <a:endParaRPr lang="ru-RU"/>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extLst>
          </c:dLbls>
          <c:cat>
            <c:strLit>
              <c:ptCount val="3"/>
              <c:pt idx="0">
                <c:v>Положительная динамика (К2≥101%)</c:v>
              </c:pt>
              <c:pt idx="1">
                <c:v>Значения на уровне 2018 года (К2 от 99 до 101%)</c:v>
              </c:pt>
              <c:pt idx="2">
                <c:v>Отрицательная динамика (К2 &lt; 99%)</c:v>
              </c:pt>
            </c:strLit>
          </c:cat>
          <c:val>
            <c:numRef>
              <c:f>'1. Показатели'!$Z$5:$AB$5</c:f>
            </c:numRef>
          </c:val>
          <c:extLst xmlns:c16r2="http://schemas.microsoft.com/office/drawing/2015/06/chart">
            <c:ext xmlns:c16="http://schemas.microsoft.com/office/drawing/2014/chart" uri="{C3380CC4-5D6E-409C-BE32-E72D297353CC}">
              <c16:uniqueId val="{00000000-A243-4AE3-850D-0E1E098BAEC5}"/>
            </c:ext>
          </c:extLst>
        </c:ser>
        <c:dLbls>
          <c:showLegendKey val="0"/>
          <c:showVal val="1"/>
          <c:showCatName val="0"/>
          <c:showSerName val="0"/>
          <c:showPercent val="0"/>
          <c:showBubbleSize val="0"/>
          <c:showLeaderLines val="1"/>
        </c:dLbls>
        <c:firstSliceAng val="0"/>
        <c:holeSize val="67"/>
      </c:doughnutChart>
      <c:spPr>
        <a:scene3d>
          <a:camera prst="orthographicFront"/>
          <a:lightRig rig="threePt" dir="t"/>
        </a:scene3d>
        <a:sp3d>
          <a:bevelT w="190500" h="38100"/>
        </a:sp3d>
      </c:spPr>
    </c:plotArea>
    <c:legend>
      <c:legendPos val="r"/>
      <c:layout>
        <c:manualLayout>
          <c:xMode val="edge"/>
          <c:yMode val="edge"/>
          <c:x val="0.44690083456706031"/>
          <c:y val="0.40515640114121232"/>
          <c:w val="0.54190574763846133"/>
          <c:h val="0.47927409447498881"/>
        </c:manualLayout>
      </c:layout>
      <c:overlay val="0"/>
      <c:txPr>
        <a:bodyPr/>
        <a:lstStyle/>
        <a:p>
          <a:pPr rtl="0">
            <a:defRPr sz="1200"/>
          </a:pPr>
          <a:endParaRPr lang="ru-RU"/>
        </a:p>
      </c:txPr>
    </c:legend>
    <c:plotVisOnly val="1"/>
    <c:dispBlanksAs val="zero"/>
    <c:showDLblsOverMax val="0"/>
  </c:chart>
  <c:txPr>
    <a:bodyPr/>
    <a:lstStyle/>
    <a:p>
      <a:pPr>
        <a:defRPr>
          <a:latin typeface="Times New Roman" pitchFamily="18" charset="0"/>
          <a:cs typeface="Times New Roman" pitchFamily="18" charset="0"/>
        </a:defRPr>
      </a:pPr>
      <a:endParaRPr lang="ru-RU"/>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ru-RU"/>
              <a:t>Достижение плановых значений показателей государственных программ (К1)</a:t>
            </a:r>
          </a:p>
        </c:rich>
      </c:tx>
      <c:layout>
        <c:manualLayout>
          <c:xMode val="edge"/>
          <c:yMode val="edge"/>
          <c:x val="0.17661424469629336"/>
          <c:y val="2.2622553676610299E-2"/>
        </c:manualLayout>
      </c:layout>
      <c:overlay val="0"/>
    </c:title>
    <c:autoTitleDeleted val="0"/>
    <c:plotArea>
      <c:layout>
        <c:manualLayout>
          <c:layoutTarget val="inner"/>
          <c:xMode val="edge"/>
          <c:yMode val="edge"/>
          <c:x val="5.8669147846897224E-2"/>
          <c:y val="0.1720736438745136"/>
          <c:w val="0.35720681088386613"/>
          <c:h val="0.79489303297790215"/>
        </c:manualLayout>
      </c:layout>
      <c:doughnutChart>
        <c:varyColors val="1"/>
        <c:ser>
          <c:idx val="0"/>
          <c:order val="0"/>
          <c:spPr>
            <a:ln>
              <a:solidFill>
                <a:schemeClr val="tx1">
                  <a:lumMod val="65000"/>
                  <a:lumOff val="35000"/>
                </a:schemeClr>
              </a:solidFill>
            </a:ln>
          </c:spPr>
          <c:explosion val="5"/>
          <c:dLbls>
            <c:spPr>
              <a:solidFill>
                <a:schemeClr val="bg1"/>
              </a:solidFill>
              <a:ln>
                <a:solidFill>
                  <a:schemeClr val="tx1">
                    <a:lumMod val="65000"/>
                    <a:lumOff val="35000"/>
                  </a:schemeClr>
                </a:solidFill>
              </a:ln>
            </c:sp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extLst>
          </c:dLbls>
          <c:cat>
            <c:multiLvlStrRef>
              <c:f>'1. Показатели'!$S$4:$W$4</c:f>
            </c:multiLvlStrRef>
          </c:cat>
          <c:val>
            <c:numRef>
              <c:f>'1. Показатели'!$S$5:$W$5</c:f>
            </c:numRef>
          </c:val>
          <c:extLst xmlns:c16r2="http://schemas.microsoft.com/office/drawing/2015/06/chart">
            <c:ext xmlns:c16="http://schemas.microsoft.com/office/drawing/2014/chart" uri="{C3380CC4-5D6E-409C-BE32-E72D297353CC}">
              <c16:uniqueId val="{00000000-6552-4540-ABEA-F769924531B2}"/>
            </c:ext>
          </c:extLst>
        </c:ser>
        <c:dLbls>
          <c:showLegendKey val="0"/>
          <c:showVal val="1"/>
          <c:showCatName val="0"/>
          <c:showSerName val="0"/>
          <c:showPercent val="0"/>
          <c:showBubbleSize val="0"/>
          <c:showLeaderLines val="1"/>
        </c:dLbls>
        <c:firstSliceAng val="0"/>
        <c:holeSize val="67"/>
      </c:doughnutChart>
      <c:spPr>
        <a:scene3d>
          <a:camera prst="orthographicFront"/>
          <a:lightRig rig="threePt" dir="t"/>
        </a:scene3d>
        <a:sp3d>
          <a:bevelT w="190500" h="38100"/>
        </a:sp3d>
      </c:spPr>
    </c:plotArea>
    <c:legend>
      <c:legendPos val="r"/>
      <c:layout>
        <c:manualLayout>
          <c:xMode val="edge"/>
          <c:yMode val="edge"/>
          <c:x val="0.46248503250819123"/>
          <c:y val="0.40515640114121232"/>
          <c:w val="0.32945789244344464"/>
          <c:h val="0.58762655787457452"/>
        </c:manualLayout>
      </c:layout>
      <c:overlay val="0"/>
      <c:txPr>
        <a:bodyPr/>
        <a:lstStyle/>
        <a:p>
          <a:pPr rtl="0">
            <a:defRPr/>
          </a:pPr>
          <a:endParaRPr lang="ru-RU"/>
        </a:p>
      </c:txPr>
    </c:legend>
    <c:plotVisOnly val="1"/>
    <c:dispBlanksAs val="zero"/>
    <c:showDLblsOverMax val="0"/>
  </c:chart>
  <c:spPr>
    <a:ln>
      <a:noFill/>
    </a:ln>
  </c:spPr>
  <c:txPr>
    <a:bodyPr/>
    <a:lstStyle/>
    <a:p>
      <a:pPr>
        <a:defRPr>
          <a:latin typeface="Muller Narrow Light" panose="00000400000000000000" pitchFamily="50" charset="-52"/>
          <a:cs typeface="Times New Roman" pitchFamily="18" charset="0"/>
        </a:defRPr>
      </a:pPr>
      <a:endParaRPr lang="ru-RU"/>
    </a:p>
  </c:txPr>
  <c:printSettings>
    <c:headerFooter/>
    <c:pageMargins b="0.75000000000001255" l="0.70000000000000062" r="0.70000000000000062" t="0.750000000000012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ru-RU"/>
              <a:t>Динамика значений показателей по сравнению с 2023 годом (К2) </a:t>
            </a:r>
          </a:p>
        </c:rich>
      </c:tx>
      <c:layout>
        <c:manualLayout>
          <c:xMode val="edge"/>
          <c:yMode val="edge"/>
          <c:x val="0.12240376457852527"/>
          <c:y val="3.5276837386353219E-2"/>
        </c:manualLayout>
      </c:layout>
      <c:overlay val="0"/>
    </c:title>
    <c:autoTitleDeleted val="0"/>
    <c:plotArea>
      <c:layout>
        <c:manualLayout>
          <c:layoutTarget val="inner"/>
          <c:xMode val="edge"/>
          <c:yMode val="edge"/>
          <c:x val="5.1421483323092224E-2"/>
          <c:y val="0.26721429154792148"/>
          <c:w val="0.35809339482427388"/>
          <c:h val="0.63443818300872734"/>
        </c:manualLayout>
      </c:layout>
      <c:doughnutChart>
        <c:varyColors val="1"/>
        <c:ser>
          <c:idx val="0"/>
          <c:order val="0"/>
          <c:explosion val="4"/>
          <c:dLbls>
            <c:spPr>
              <a:solidFill>
                <a:schemeClr val="bg1"/>
              </a:solidFill>
            </c:sp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extLst>
          </c:dLbls>
          <c:cat>
            <c:multiLvlStrRef>
              <c:f>'1. Показатели'!$Z$4:$AB$4</c:f>
            </c:multiLvlStrRef>
          </c:cat>
          <c:val>
            <c:numRef>
              <c:f>'1. Показатели'!$Z$5:$AB$5</c:f>
            </c:numRef>
          </c:val>
          <c:extLst xmlns:c16r2="http://schemas.microsoft.com/office/drawing/2015/06/chart">
            <c:ext xmlns:c16="http://schemas.microsoft.com/office/drawing/2014/chart" uri="{C3380CC4-5D6E-409C-BE32-E72D297353CC}">
              <c16:uniqueId val="{00000000-E6ED-45EB-9C41-051674C916A5}"/>
            </c:ext>
          </c:extLst>
        </c:ser>
        <c:dLbls>
          <c:showLegendKey val="0"/>
          <c:showVal val="0"/>
          <c:showCatName val="0"/>
          <c:showSerName val="0"/>
          <c:showPercent val="1"/>
          <c:showBubbleSize val="0"/>
          <c:showLeaderLines val="1"/>
        </c:dLbls>
        <c:firstSliceAng val="0"/>
        <c:holeSize val="50"/>
      </c:doughnutChart>
    </c:plotArea>
    <c:legend>
      <c:legendPos val="r"/>
      <c:layout>
        <c:manualLayout>
          <c:xMode val="edge"/>
          <c:yMode val="edge"/>
          <c:x val="0.43217803021419338"/>
          <c:y val="0.41530713273527331"/>
          <c:w val="0.3217434120426263"/>
          <c:h val="0.35068007791406119"/>
        </c:manualLayout>
      </c:layout>
      <c:overlay val="0"/>
    </c:legend>
    <c:plotVisOnly val="1"/>
    <c:dispBlanksAs val="zero"/>
    <c:showDLblsOverMax val="0"/>
  </c:chart>
  <c:spPr>
    <a:ln>
      <a:noFill/>
    </a:ln>
  </c:spPr>
  <c:txPr>
    <a:bodyPr/>
    <a:lstStyle/>
    <a:p>
      <a:pPr>
        <a:defRPr>
          <a:latin typeface="Muller Narrow Light" panose="00000400000000000000" pitchFamily="50" charset="-52"/>
        </a:defRPr>
      </a:pPr>
      <a:endParaRPr lang="ru-RU"/>
    </a:p>
  </c:txPr>
  <c:printSettings>
    <c:headerFooter/>
    <c:pageMargins b="0.75000000000000433" l="0.70000000000000062" r="0.70000000000000062" t="0.7500000000000043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ru-RU" sz="1400" b="1" i="0" u="none" strike="noStrike" baseline="0">
                <a:effectLst/>
              </a:rPr>
              <a:t>Выполнение мероприятий государственных программ </a:t>
            </a:r>
            <a:r>
              <a:rPr lang="ru-RU" sz="1400"/>
              <a:t>(К3)</a:t>
            </a:r>
          </a:p>
        </c:rich>
      </c:tx>
      <c:layout>
        <c:manualLayout>
          <c:xMode val="edge"/>
          <c:yMode val="edge"/>
          <c:x val="0.11790505217577858"/>
          <c:y val="3.0877057192047606E-2"/>
        </c:manualLayout>
      </c:layout>
      <c:overlay val="0"/>
    </c:title>
    <c:autoTitleDeleted val="0"/>
    <c:plotArea>
      <c:layout>
        <c:manualLayout>
          <c:layoutTarget val="inner"/>
          <c:xMode val="edge"/>
          <c:yMode val="edge"/>
          <c:x val="9.2660230019364229E-2"/>
          <c:y val="0.25031698734408325"/>
          <c:w val="0.35720681088386602"/>
          <c:h val="0.79489303297790215"/>
        </c:manualLayout>
      </c:layout>
      <c:doughnutChart>
        <c:varyColors val="1"/>
        <c:ser>
          <c:idx val="1"/>
          <c:order val="1"/>
          <c:dPt>
            <c:idx val="0"/>
            <c:bubble3D val="0"/>
            <c:spPr>
              <a:solidFill>
                <a:srgbClr val="92D050"/>
              </a:solidFill>
            </c:spPr>
            <c:extLst xmlns:c16r2="http://schemas.microsoft.com/office/drawing/2015/06/chart">
              <c:ext xmlns:c16="http://schemas.microsoft.com/office/drawing/2014/chart" uri="{C3380CC4-5D6E-409C-BE32-E72D297353CC}">
                <c16:uniqueId val="{00000001-6D67-4378-8359-27EF5CAFC4F6}"/>
              </c:ext>
            </c:extLst>
          </c:dPt>
          <c:dPt>
            <c:idx val="1"/>
            <c:bubble3D val="0"/>
            <c:spPr>
              <a:solidFill>
                <a:schemeClr val="tx2">
                  <a:lumMod val="60000"/>
                  <a:lumOff val="40000"/>
                </a:schemeClr>
              </a:solidFill>
            </c:spPr>
            <c:extLst xmlns:c16r2="http://schemas.microsoft.com/office/drawing/2015/06/chart">
              <c:ext xmlns:c16="http://schemas.microsoft.com/office/drawing/2014/chart" uri="{C3380CC4-5D6E-409C-BE32-E72D297353CC}">
                <c16:uniqueId val="{00000002-6D67-4378-8359-27EF5CAFC4F6}"/>
              </c:ext>
            </c:extLst>
          </c:dPt>
          <c:dPt>
            <c:idx val="2"/>
            <c:bubble3D val="0"/>
            <c:spPr>
              <a:solidFill>
                <a:srgbClr val="EC3E3E"/>
              </a:solidFill>
            </c:spPr>
            <c:extLst xmlns:c16r2="http://schemas.microsoft.com/office/drawing/2015/06/chart">
              <c:ext xmlns:c16="http://schemas.microsoft.com/office/drawing/2014/chart" uri="{C3380CC4-5D6E-409C-BE32-E72D297353CC}">
                <c16:uniqueId val="{00000003-6D67-4378-8359-27EF5CAFC4F6}"/>
              </c:ext>
            </c:extLst>
          </c:dPt>
          <c:dLbls>
            <c:dLbl>
              <c:idx val="2"/>
              <c:layout>
                <c:manualLayout>
                  <c:x val="-1.893939393939394E-3"/>
                  <c:y val="0"/>
                </c:manualLayout>
              </c:layout>
              <c:showLegendKey val="0"/>
              <c:showVal val="1"/>
              <c:showCatName val="0"/>
              <c:showSerName val="0"/>
              <c:showPercent val="1"/>
              <c:showBubbleSize val="0"/>
              <c:extLst xmlns:c16r2="http://schemas.microsoft.com/office/drawing/2015/06/chart">
                <c:ext xmlns:c16="http://schemas.microsoft.com/office/drawing/2014/chart" uri="{C3380CC4-5D6E-409C-BE32-E72D297353CC}">
                  <c16:uniqueId val="{00000003-6D67-4378-8359-27EF5CAFC4F6}"/>
                </c:ext>
                <c:ext xmlns:c15="http://schemas.microsoft.com/office/drawing/2012/chart" uri="{CE6537A1-D6FC-4f65-9D91-7224C49458BB}"/>
              </c:extLst>
            </c:dLbl>
            <c:spPr>
              <a:solidFill>
                <a:schemeClr val="bg1"/>
              </a:solidFill>
            </c:spPr>
            <c:showLegendKey val="0"/>
            <c:showVal val="1"/>
            <c:showCatName val="0"/>
            <c:showSerName val="0"/>
            <c:showPercent val="1"/>
            <c:showBubbleSize val="0"/>
            <c:showLeaderLines val="1"/>
            <c:extLst xmlns:c16r2="http://schemas.microsoft.com/office/drawing/2015/06/chart">
              <c:ext xmlns:c15="http://schemas.microsoft.com/office/drawing/2012/chart" uri="{CE6537A1-D6FC-4f65-9D91-7224C49458BB}"/>
            </c:extLst>
          </c:dLbls>
          <c:cat>
            <c:strRef>
              <c:f>'4. Оценка'!$O$7:$Q$7</c:f>
              <c:strCache>
                <c:ptCount val="3"/>
                <c:pt idx="0">
                  <c:v>Да </c:v>
                </c:pt>
                <c:pt idx="1">
                  <c:v>Частично</c:v>
                </c:pt>
                <c:pt idx="2">
                  <c:v>Нет</c:v>
                </c:pt>
              </c:strCache>
            </c:strRef>
          </c:cat>
          <c:val>
            <c:numRef>
              <c:f>'4. Оценка'!$O$9:$Q$9</c:f>
              <c:numCache>
                <c:formatCode>0</c:formatCode>
                <c:ptCount val="3"/>
                <c:pt idx="0">
                  <c:v>863</c:v>
                </c:pt>
                <c:pt idx="1">
                  <c:v>133</c:v>
                </c:pt>
                <c:pt idx="2">
                  <c:v>44</c:v>
                </c:pt>
              </c:numCache>
            </c:numRef>
          </c:val>
          <c:extLst xmlns:c16r2="http://schemas.microsoft.com/office/drawing/2015/06/chart">
            <c:ext xmlns:c16="http://schemas.microsoft.com/office/drawing/2014/chart" uri="{C3380CC4-5D6E-409C-BE32-E72D297353CC}">
              <c16:uniqueId val="{00000004-6D67-4378-8359-27EF5CAFC4F6}"/>
            </c:ext>
          </c:extLst>
        </c:ser>
        <c:dLbls>
          <c:showLegendKey val="0"/>
          <c:showVal val="1"/>
          <c:showCatName val="0"/>
          <c:showSerName val="0"/>
          <c:showPercent val="0"/>
          <c:showBubbleSize val="0"/>
          <c:showLeaderLines val="1"/>
        </c:dLbls>
        <c:firstSliceAng val="0"/>
        <c:holeSize val="50"/>
        <c:extLst xmlns:c16r2="http://schemas.microsoft.com/office/drawing/2015/06/chart">
          <c:ext xmlns:c15="http://schemas.microsoft.com/office/drawing/2012/chart" uri="{02D57815-91ED-43cb-92C2-25804820EDAC}">
            <c15:filteredPieSeries>
              <c15:ser>
                <c:idx val="0"/>
                <c:order val="0"/>
                <c:spPr>
                  <a:ln>
                    <a:solidFill>
                      <a:schemeClr val="tx1">
                        <a:lumMod val="65000"/>
                        <a:lumOff val="35000"/>
                      </a:schemeClr>
                    </a:solidFill>
                  </a:ln>
                </c:spPr>
                <c:dLbls>
                  <c:spPr>
                    <a:solidFill>
                      <a:schemeClr val="bg1"/>
                    </a:solidFill>
                    <a:ln>
                      <a:solidFill>
                        <a:schemeClr val="tx1">
                          <a:lumMod val="65000"/>
                          <a:lumOff val="35000"/>
                        </a:schemeClr>
                      </a:solidFill>
                    </a:ln>
                  </c:spPr>
                  <c:txPr>
                    <a:bodyPr/>
                    <a:lstStyle/>
                    <a:p>
                      <a:pPr>
                        <a:defRPr sz="1100"/>
                      </a:pPr>
                      <a:endParaRPr lang="ru-RU"/>
                    </a:p>
                  </c:txPr>
                  <c:showLegendKey val="0"/>
                  <c:showVal val="1"/>
                  <c:showCatName val="0"/>
                  <c:showSerName val="0"/>
                  <c:showPercent val="0"/>
                  <c:showBubbleSize val="0"/>
                  <c:showLeaderLines val="1"/>
                  <c:extLst xmlns:c16r2="http://schemas.microsoft.com/office/drawing/2015/06/chart">
                    <c:ext uri="{CE6537A1-D6FC-4f65-9D91-7224C49458BB}"/>
                  </c:extLst>
                </c:dLbls>
                <c:cat>
                  <c:strRef>
                    <c:extLst xmlns:c16r2="http://schemas.microsoft.com/office/drawing/2015/06/chart">
                      <c:ext uri="{02D57815-91ED-43cb-92C2-25804820EDAC}">
                        <c15:formulaRef>
                          <c15:sqref>'4. Оценка'!$O$7:$Q$7</c15:sqref>
                        </c15:formulaRef>
                      </c:ext>
                    </c:extLst>
                    <c:strCache>
                      <c:ptCount val="3"/>
                      <c:pt idx="0">
                        <c:v>Да </c:v>
                      </c:pt>
                      <c:pt idx="1">
                        <c:v>Частично</c:v>
                      </c:pt>
                      <c:pt idx="2">
                        <c:v>Нет</c:v>
                      </c:pt>
                    </c:strCache>
                  </c:strRef>
                </c:cat>
                <c:val>
                  <c:numRef>
                    <c:extLst xmlns:c16r2="http://schemas.microsoft.com/office/drawing/2015/06/chart">
                      <c:ext uri="{02D57815-91ED-43cb-92C2-25804820EDAC}">
                        <c15:formulaRef>
                          <c15:sqref>'4. Оценка'!$O$8:$Q$8</c15:sqref>
                        </c15:formulaRef>
                      </c:ext>
                    </c:extLst>
                    <c:numCache>
                      <c:formatCode>General</c:formatCode>
                      <c:ptCount val="3"/>
                    </c:numCache>
                  </c:numRef>
                </c:val>
                <c:extLst xmlns:c16r2="http://schemas.microsoft.com/office/drawing/2015/06/chart">
                  <c:ext xmlns:c16="http://schemas.microsoft.com/office/drawing/2014/chart" uri="{C3380CC4-5D6E-409C-BE32-E72D297353CC}">
                    <c16:uniqueId val="{00000000-6D67-4378-8359-27EF5CAFC4F6}"/>
                  </c:ext>
                </c:extLst>
              </c15:ser>
            </c15:filteredPieSeries>
          </c:ext>
        </c:extLst>
      </c:doughnutChart>
      <c:spPr>
        <a:scene3d>
          <a:camera prst="orthographicFront"/>
          <a:lightRig rig="threePt" dir="t"/>
        </a:scene3d>
        <a:sp3d>
          <a:bevelT w="190500" h="38100"/>
        </a:sp3d>
      </c:spPr>
    </c:plotArea>
    <c:legend>
      <c:legendPos val="r"/>
      <c:layout>
        <c:manualLayout>
          <c:xMode val="edge"/>
          <c:yMode val="edge"/>
          <c:x val="0.68241085406623148"/>
          <c:y val="0.31639898277044554"/>
          <c:w val="0.16057621224070917"/>
          <c:h val="0.2188244457622619"/>
        </c:manualLayout>
      </c:layout>
      <c:overlay val="0"/>
      <c:txPr>
        <a:bodyPr/>
        <a:lstStyle/>
        <a:p>
          <a:pPr rtl="0">
            <a:defRPr sz="1200"/>
          </a:pPr>
          <a:endParaRPr lang="ru-RU"/>
        </a:p>
      </c:txPr>
    </c:legend>
    <c:plotVisOnly val="1"/>
    <c:dispBlanksAs val="zero"/>
    <c:showDLblsOverMax val="0"/>
  </c:chart>
  <c:txPr>
    <a:bodyPr/>
    <a:lstStyle/>
    <a:p>
      <a:pPr>
        <a:defRPr>
          <a:latin typeface="Times New Roman" pitchFamily="18" charset="0"/>
          <a:cs typeface="Times New Roman" pitchFamily="18" charset="0"/>
        </a:defRPr>
      </a:pPr>
      <a:endParaRPr lang="ru-RU"/>
    </a:p>
  </c:txPr>
  <c:printSettings>
    <c:headerFooter/>
    <c:pageMargins b="0.75000000000001232" l="0.70000000000000062" r="0.70000000000000062" t="0.75000000000001232"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0</xdr:colOff>
      <xdr:row>215</xdr:row>
      <xdr:rowOff>0</xdr:rowOff>
    </xdr:from>
    <xdr:to>
      <xdr:col>3</xdr:col>
      <xdr:colOff>447675</xdr:colOff>
      <xdr:row>216</xdr:row>
      <xdr:rowOff>0</xdr:rowOff>
    </xdr:to>
    <xdr:grpSp>
      <xdr:nvGrpSpPr>
        <xdr:cNvPr id="4" name="Group 3">
          <a:extLst>
            <a:ext uri="{FF2B5EF4-FFF2-40B4-BE49-F238E27FC236}">
              <a16:creationId xmlns:a16="http://schemas.microsoft.com/office/drawing/2014/main" xmlns="" id="{00000000-0008-0000-0000-000004000000}"/>
            </a:ext>
          </a:extLst>
        </xdr:cNvPr>
        <xdr:cNvGrpSpPr>
          <a:grpSpLocks noChangeAspect="1"/>
        </xdr:cNvGrpSpPr>
      </xdr:nvGrpSpPr>
      <xdr:grpSpPr bwMode="auto">
        <a:xfrm>
          <a:off x="3309938" y="150471188"/>
          <a:ext cx="447675" cy="678656"/>
          <a:chOff x="4846" y="2659"/>
          <a:chExt cx="7140" cy="4320"/>
        </a:xfrm>
      </xdr:grpSpPr>
      <xdr:sp macro="" textlink="">
        <xdr:nvSpPr>
          <xdr:cNvPr id="5" name="AutoShape 4">
            <a:extLst>
              <a:ext uri="{FF2B5EF4-FFF2-40B4-BE49-F238E27FC236}">
                <a16:creationId xmlns:a16="http://schemas.microsoft.com/office/drawing/2014/main" xmlns="" id="{00000000-0008-0000-0000-000005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30</xdr:col>
      <xdr:colOff>281610</xdr:colOff>
      <xdr:row>167</xdr:row>
      <xdr:rowOff>786848</xdr:rowOff>
    </xdr:from>
    <xdr:to>
      <xdr:col>42</xdr:col>
      <xdr:colOff>273844</xdr:colOff>
      <xdr:row>168</xdr:row>
      <xdr:rowOff>0</xdr:rowOff>
    </xdr:to>
    <xdr:graphicFrame macro="">
      <xdr:nvGraphicFramePr>
        <xdr:cNvPr id="11" name="Диаграмма 10">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169900</xdr:colOff>
      <xdr:row>519</xdr:row>
      <xdr:rowOff>86874</xdr:rowOff>
    </xdr:from>
    <xdr:to>
      <xdr:col>26</xdr:col>
      <xdr:colOff>707599</xdr:colOff>
      <xdr:row>536</xdr:row>
      <xdr:rowOff>47626</xdr:rowOff>
    </xdr:to>
    <xdr:graphicFrame macro="">
      <xdr:nvGraphicFramePr>
        <xdr:cNvPr id="12" name="Диаграмма 11">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17</xdr:col>
      <xdr:colOff>140709</xdr:colOff>
      <xdr:row>499</xdr:row>
      <xdr:rowOff>136815</xdr:rowOff>
    </xdr:from>
    <xdr:to>
      <xdr:col>26</xdr:col>
      <xdr:colOff>317139</xdr:colOff>
      <xdr:row>517</xdr:row>
      <xdr:rowOff>57151</xdr:rowOff>
    </xdr:to>
    <xdr:graphicFrame macro="">
      <xdr:nvGraphicFramePr>
        <xdr:cNvPr id="7" name="Диаграмма 6">
          <a:extLst>
            <a:ext uri="{FF2B5EF4-FFF2-40B4-BE49-F238E27FC236}">
              <a16:creationId xmlns:a16="http://schemas.microsoft.com/office/drawing/2014/main" xmlns="" id="{00000000-0008-0000-00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216</xdr:row>
      <xdr:rowOff>0</xdr:rowOff>
    </xdr:from>
    <xdr:to>
      <xdr:col>3</xdr:col>
      <xdr:colOff>447675</xdr:colOff>
      <xdr:row>217</xdr:row>
      <xdr:rowOff>0</xdr:rowOff>
    </xdr:to>
    <xdr:grpSp>
      <xdr:nvGrpSpPr>
        <xdr:cNvPr id="8" name="Group 3">
          <a:extLst>
            <a:ext uri="{FF2B5EF4-FFF2-40B4-BE49-F238E27FC236}">
              <a16:creationId xmlns:a16="http://schemas.microsoft.com/office/drawing/2014/main" xmlns="" id="{00000000-0008-0000-0000-000008000000}"/>
            </a:ext>
          </a:extLst>
        </xdr:cNvPr>
        <xdr:cNvGrpSpPr>
          <a:grpSpLocks noChangeAspect="1"/>
        </xdr:cNvGrpSpPr>
      </xdr:nvGrpSpPr>
      <xdr:grpSpPr bwMode="auto">
        <a:xfrm>
          <a:off x="3309938" y="151149844"/>
          <a:ext cx="447675" cy="571500"/>
          <a:chOff x="4846" y="2659"/>
          <a:chExt cx="7140" cy="4320"/>
        </a:xfrm>
      </xdr:grpSpPr>
      <xdr:sp macro="" textlink="">
        <xdr:nvSpPr>
          <xdr:cNvPr id="9" name="AutoShape 4">
            <a:extLst>
              <a:ext uri="{FF2B5EF4-FFF2-40B4-BE49-F238E27FC236}">
                <a16:creationId xmlns:a16="http://schemas.microsoft.com/office/drawing/2014/main" xmlns="" id="{00000000-0008-0000-0000-000009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225</xdr:row>
      <xdr:rowOff>0</xdr:rowOff>
    </xdr:from>
    <xdr:to>
      <xdr:col>3</xdr:col>
      <xdr:colOff>447675</xdr:colOff>
      <xdr:row>226</xdr:row>
      <xdr:rowOff>0</xdr:rowOff>
    </xdr:to>
    <xdr:grpSp>
      <xdr:nvGrpSpPr>
        <xdr:cNvPr id="14" name="Group 3">
          <a:extLst>
            <a:ext uri="{FF2B5EF4-FFF2-40B4-BE49-F238E27FC236}">
              <a16:creationId xmlns:a16="http://schemas.microsoft.com/office/drawing/2014/main" xmlns="" id="{00000000-0008-0000-0000-00000E000000}"/>
            </a:ext>
          </a:extLst>
        </xdr:cNvPr>
        <xdr:cNvGrpSpPr>
          <a:grpSpLocks noChangeAspect="1"/>
        </xdr:cNvGrpSpPr>
      </xdr:nvGrpSpPr>
      <xdr:grpSpPr bwMode="auto">
        <a:xfrm>
          <a:off x="3309938" y="155817094"/>
          <a:ext cx="447675" cy="1035844"/>
          <a:chOff x="4846" y="2659"/>
          <a:chExt cx="7140" cy="4320"/>
        </a:xfrm>
      </xdr:grpSpPr>
      <xdr:sp macro="" textlink="">
        <xdr:nvSpPr>
          <xdr:cNvPr id="15" name="AutoShape 4">
            <a:extLst>
              <a:ext uri="{FF2B5EF4-FFF2-40B4-BE49-F238E27FC236}">
                <a16:creationId xmlns:a16="http://schemas.microsoft.com/office/drawing/2014/main" xmlns="" id="{00000000-0008-0000-0000-00000F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226</xdr:row>
      <xdr:rowOff>0</xdr:rowOff>
    </xdr:from>
    <xdr:to>
      <xdr:col>3</xdr:col>
      <xdr:colOff>447675</xdr:colOff>
      <xdr:row>227</xdr:row>
      <xdr:rowOff>0</xdr:rowOff>
    </xdr:to>
    <xdr:grpSp>
      <xdr:nvGrpSpPr>
        <xdr:cNvPr id="16" name="Group 3">
          <a:extLst>
            <a:ext uri="{FF2B5EF4-FFF2-40B4-BE49-F238E27FC236}">
              <a16:creationId xmlns:a16="http://schemas.microsoft.com/office/drawing/2014/main" xmlns="" id="{00000000-0008-0000-0000-000010000000}"/>
            </a:ext>
          </a:extLst>
        </xdr:cNvPr>
        <xdr:cNvGrpSpPr>
          <a:grpSpLocks noChangeAspect="1"/>
        </xdr:cNvGrpSpPr>
      </xdr:nvGrpSpPr>
      <xdr:grpSpPr bwMode="auto">
        <a:xfrm>
          <a:off x="3309938" y="156852938"/>
          <a:ext cx="447675" cy="857250"/>
          <a:chOff x="4846" y="2659"/>
          <a:chExt cx="7140" cy="4320"/>
        </a:xfrm>
      </xdr:grpSpPr>
      <xdr:sp macro="" textlink="">
        <xdr:nvSpPr>
          <xdr:cNvPr id="17" name="AutoShape 4">
            <a:extLst>
              <a:ext uri="{FF2B5EF4-FFF2-40B4-BE49-F238E27FC236}">
                <a16:creationId xmlns:a16="http://schemas.microsoft.com/office/drawing/2014/main" xmlns="" id="{00000000-0008-0000-0000-000011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215</xdr:row>
      <xdr:rowOff>0</xdr:rowOff>
    </xdr:from>
    <xdr:to>
      <xdr:col>3</xdr:col>
      <xdr:colOff>447675</xdr:colOff>
      <xdr:row>216</xdr:row>
      <xdr:rowOff>0</xdr:rowOff>
    </xdr:to>
    <xdr:grpSp>
      <xdr:nvGrpSpPr>
        <xdr:cNvPr id="18" name="Group 3">
          <a:extLst>
            <a:ext uri="{FF2B5EF4-FFF2-40B4-BE49-F238E27FC236}">
              <a16:creationId xmlns:a16="http://schemas.microsoft.com/office/drawing/2014/main" xmlns="" id="{00000000-0008-0000-0000-000012000000}"/>
            </a:ext>
          </a:extLst>
        </xdr:cNvPr>
        <xdr:cNvGrpSpPr>
          <a:grpSpLocks noChangeAspect="1"/>
        </xdr:cNvGrpSpPr>
      </xdr:nvGrpSpPr>
      <xdr:grpSpPr bwMode="auto">
        <a:xfrm>
          <a:off x="3309938" y="150471188"/>
          <a:ext cx="447675" cy="678656"/>
          <a:chOff x="4846" y="2659"/>
          <a:chExt cx="7140" cy="4320"/>
        </a:xfrm>
      </xdr:grpSpPr>
      <xdr:sp macro="" textlink="">
        <xdr:nvSpPr>
          <xdr:cNvPr id="19" name="AutoShape 4">
            <a:extLst>
              <a:ext uri="{FF2B5EF4-FFF2-40B4-BE49-F238E27FC236}">
                <a16:creationId xmlns:a16="http://schemas.microsoft.com/office/drawing/2014/main" xmlns="" id="{00000000-0008-0000-0000-000013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216</xdr:row>
      <xdr:rowOff>0</xdr:rowOff>
    </xdr:from>
    <xdr:to>
      <xdr:col>3</xdr:col>
      <xdr:colOff>447675</xdr:colOff>
      <xdr:row>217</xdr:row>
      <xdr:rowOff>0</xdr:rowOff>
    </xdr:to>
    <xdr:grpSp>
      <xdr:nvGrpSpPr>
        <xdr:cNvPr id="20" name="Group 3">
          <a:extLst>
            <a:ext uri="{FF2B5EF4-FFF2-40B4-BE49-F238E27FC236}">
              <a16:creationId xmlns:a16="http://schemas.microsoft.com/office/drawing/2014/main" xmlns="" id="{00000000-0008-0000-0000-000014000000}"/>
            </a:ext>
          </a:extLst>
        </xdr:cNvPr>
        <xdr:cNvGrpSpPr>
          <a:grpSpLocks noChangeAspect="1"/>
        </xdr:cNvGrpSpPr>
      </xdr:nvGrpSpPr>
      <xdr:grpSpPr bwMode="auto">
        <a:xfrm>
          <a:off x="3309938" y="151149844"/>
          <a:ext cx="447675" cy="571500"/>
          <a:chOff x="4846" y="2659"/>
          <a:chExt cx="7140" cy="4320"/>
        </a:xfrm>
      </xdr:grpSpPr>
      <xdr:sp macro="" textlink="">
        <xdr:nvSpPr>
          <xdr:cNvPr id="21" name="AutoShape 4">
            <a:extLst>
              <a:ext uri="{FF2B5EF4-FFF2-40B4-BE49-F238E27FC236}">
                <a16:creationId xmlns:a16="http://schemas.microsoft.com/office/drawing/2014/main" xmlns="" id="{00000000-0008-0000-0000-000015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225</xdr:row>
      <xdr:rowOff>0</xdr:rowOff>
    </xdr:from>
    <xdr:to>
      <xdr:col>3</xdr:col>
      <xdr:colOff>447675</xdr:colOff>
      <xdr:row>226</xdr:row>
      <xdr:rowOff>0</xdr:rowOff>
    </xdr:to>
    <xdr:grpSp>
      <xdr:nvGrpSpPr>
        <xdr:cNvPr id="24" name="Group 3">
          <a:extLst>
            <a:ext uri="{FF2B5EF4-FFF2-40B4-BE49-F238E27FC236}">
              <a16:creationId xmlns:a16="http://schemas.microsoft.com/office/drawing/2014/main" xmlns="" id="{00000000-0008-0000-0000-000018000000}"/>
            </a:ext>
          </a:extLst>
        </xdr:cNvPr>
        <xdr:cNvGrpSpPr>
          <a:grpSpLocks noChangeAspect="1"/>
        </xdr:cNvGrpSpPr>
      </xdr:nvGrpSpPr>
      <xdr:grpSpPr bwMode="auto">
        <a:xfrm>
          <a:off x="3309938" y="155817094"/>
          <a:ext cx="447675" cy="1035844"/>
          <a:chOff x="4846" y="2659"/>
          <a:chExt cx="7140" cy="4320"/>
        </a:xfrm>
      </xdr:grpSpPr>
      <xdr:sp macro="" textlink="">
        <xdr:nvSpPr>
          <xdr:cNvPr id="25" name="AutoShape 4">
            <a:extLst>
              <a:ext uri="{FF2B5EF4-FFF2-40B4-BE49-F238E27FC236}">
                <a16:creationId xmlns:a16="http://schemas.microsoft.com/office/drawing/2014/main" xmlns="" id="{00000000-0008-0000-0000-000019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226</xdr:row>
      <xdr:rowOff>0</xdr:rowOff>
    </xdr:from>
    <xdr:to>
      <xdr:col>3</xdr:col>
      <xdr:colOff>447675</xdr:colOff>
      <xdr:row>227</xdr:row>
      <xdr:rowOff>0</xdr:rowOff>
    </xdr:to>
    <xdr:grpSp>
      <xdr:nvGrpSpPr>
        <xdr:cNvPr id="26" name="Group 3">
          <a:extLst>
            <a:ext uri="{FF2B5EF4-FFF2-40B4-BE49-F238E27FC236}">
              <a16:creationId xmlns:a16="http://schemas.microsoft.com/office/drawing/2014/main" xmlns="" id="{00000000-0008-0000-0000-00001A000000}"/>
            </a:ext>
          </a:extLst>
        </xdr:cNvPr>
        <xdr:cNvGrpSpPr>
          <a:grpSpLocks noChangeAspect="1"/>
        </xdr:cNvGrpSpPr>
      </xdr:nvGrpSpPr>
      <xdr:grpSpPr bwMode="auto">
        <a:xfrm>
          <a:off x="3309938" y="156852938"/>
          <a:ext cx="447675" cy="857250"/>
          <a:chOff x="4846" y="2659"/>
          <a:chExt cx="7140" cy="4320"/>
        </a:xfrm>
      </xdr:grpSpPr>
      <xdr:sp macro="" textlink="">
        <xdr:nvSpPr>
          <xdr:cNvPr id="27" name="AutoShape 4">
            <a:extLst>
              <a:ext uri="{FF2B5EF4-FFF2-40B4-BE49-F238E27FC236}">
                <a16:creationId xmlns:a16="http://schemas.microsoft.com/office/drawing/2014/main" xmlns="" id="{00000000-0008-0000-0000-00001B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217</xdr:row>
      <xdr:rowOff>0</xdr:rowOff>
    </xdr:from>
    <xdr:to>
      <xdr:col>3</xdr:col>
      <xdr:colOff>447675</xdr:colOff>
      <xdr:row>218</xdr:row>
      <xdr:rowOff>0</xdr:rowOff>
    </xdr:to>
    <xdr:grpSp>
      <xdr:nvGrpSpPr>
        <xdr:cNvPr id="28" name="Group 3">
          <a:extLst>
            <a:ext uri="{FF2B5EF4-FFF2-40B4-BE49-F238E27FC236}">
              <a16:creationId xmlns:a16="http://schemas.microsoft.com/office/drawing/2014/main" xmlns="" id="{00000000-0008-0000-0000-000008000000}"/>
            </a:ext>
          </a:extLst>
        </xdr:cNvPr>
        <xdr:cNvGrpSpPr>
          <a:grpSpLocks noChangeAspect="1"/>
        </xdr:cNvGrpSpPr>
      </xdr:nvGrpSpPr>
      <xdr:grpSpPr bwMode="auto">
        <a:xfrm>
          <a:off x="3309938" y="151721344"/>
          <a:ext cx="447675" cy="428625"/>
          <a:chOff x="4846" y="2659"/>
          <a:chExt cx="7140" cy="4320"/>
        </a:xfrm>
      </xdr:grpSpPr>
      <xdr:sp macro="" textlink="">
        <xdr:nvSpPr>
          <xdr:cNvPr id="29" name="AutoShape 4">
            <a:extLst>
              <a:ext uri="{FF2B5EF4-FFF2-40B4-BE49-F238E27FC236}">
                <a16:creationId xmlns:a16="http://schemas.microsoft.com/office/drawing/2014/main" xmlns="" id="{00000000-0008-0000-0000-000009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217</xdr:row>
      <xdr:rowOff>0</xdr:rowOff>
    </xdr:from>
    <xdr:to>
      <xdr:col>3</xdr:col>
      <xdr:colOff>447675</xdr:colOff>
      <xdr:row>218</xdr:row>
      <xdr:rowOff>0</xdr:rowOff>
    </xdr:to>
    <xdr:grpSp>
      <xdr:nvGrpSpPr>
        <xdr:cNvPr id="30" name="Group 3">
          <a:extLst>
            <a:ext uri="{FF2B5EF4-FFF2-40B4-BE49-F238E27FC236}">
              <a16:creationId xmlns:a16="http://schemas.microsoft.com/office/drawing/2014/main" xmlns="" id="{00000000-0008-0000-0000-000014000000}"/>
            </a:ext>
          </a:extLst>
        </xdr:cNvPr>
        <xdr:cNvGrpSpPr>
          <a:grpSpLocks noChangeAspect="1"/>
        </xdr:cNvGrpSpPr>
      </xdr:nvGrpSpPr>
      <xdr:grpSpPr bwMode="auto">
        <a:xfrm>
          <a:off x="3309938" y="151721344"/>
          <a:ext cx="447675" cy="428625"/>
          <a:chOff x="4846" y="2659"/>
          <a:chExt cx="7140" cy="4320"/>
        </a:xfrm>
      </xdr:grpSpPr>
      <xdr:sp macro="" textlink="">
        <xdr:nvSpPr>
          <xdr:cNvPr id="31" name="AutoShape 4">
            <a:extLst>
              <a:ext uri="{FF2B5EF4-FFF2-40B4-BE49-F238E27FC236}">
                <a16:creationId xmlns:a16="http://schemas.microsoft.com/office/drawing/2014/main" xmlns="" id="{00000000-0008-0000-0000-000015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218</xdr:row>
      <xdr:rowOff>0</xdr:rowOff>
    </xdr:from>
    <xdr:to>
      <xdr:col>3</xdr:col>
      <xdr:colOff>447675</xdr:colOff>
      <xdr:row>219</xdr:row>
      <xdr:rowOff>0</xdr:rowOff>
    </xdr:to>
    <xdr:grpSp>
      <xdr:nvGrpSpPr>
        <xdr:cNvPr id="32" name="Group 3">
          <a:extLst>
            <a:ext uri="{FF2B5EF4-FFF2-40B4-BE49-F238E27FC236}">
              <a16:creationId xmlns:a16="http://schemas.microsoft.com/office/drawing/2014/main" xmlns="" id="{00000000-0008-0000-0000-000008000000}"/>
            </a:ext>
          </a:extLst>
        </xdr:cNvPr>
        <xdr:cNvGrpSpPr>
          <a:grpSpLocks noChangeAspect="1"/>
        </xdr:cNvGrpSpPr>
      </xdr:nvGrpSpPr>
      <xdr:grpSpPr bwMode="auto">
        <a:xfrm>
          <a:off x="3309938" y="152149969"/>
          <a:ext cx="447675" cy="583406"/>
          <a:chOff x="4846" y="2659"/>
          <a:chExt cx="7140" cy="4320"/>
        </a:xfrm>
      </xdr:grpSpPr>
      <xdr:sp macro="" textlink="">
        <xdr:nvSpPr>
          <xdr:cNvPr id="33" name="AutoShape 4">
            <a:extLst>
              <a:ext uri="{FF2B5EF4-FFF2-40B4-BE49-F238E27FC236}">
                <a16:creationId xmlns:a16="http://schemas.microsoft.com/office/drawing/2014/main" xmlns="" id="{00000000-0008-0000-0000-000009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218</xdr:row>
      <xdr:rowOff>0</xdr:rowOff>
    </xdr:from>
    <xdr:to>
      <xdr:col>3</xdr:col>
      <xdr:colOff>447675</xdr:colOff>
      <xdr:row>219</xdr:row>
      <xdr:rowOff>0</xdr:rowOff>
    </xdr:to>
    <xdr:grpSp>
      <xdr:nvGrpSpPr>
        <xdr:cNvPr id="34" name="Group 3">
          <a:extLst>
            <a:ext uri="{FF2B5EF4-FFF2-40B4-BE49-F238E27FC236}">
              <a16:creationId xmlns:a16="http://schemas.microsoft.com/office/drawing/2014/main" xmlns="" id="{00000000-0008-0000-0000-000014000000}"/>
            </a:ext>
          </a:extLst>
        </xdr:cNvPr>
        <xdr:cNvGrpSpPr>
          <a:grpSpLocks noChangeAspect="1"/>
        </xdr:cNvGrpSpPr>
      </xdr:nvGrpSpPr>
      <xdr:grpSpPr bwMode="auto">
        <a:xfrm>
          <a:off x="3309938" y="152149969"/>
          <a:ext cx="447675" cy="583406"/>
          <a:chOff x="4846" y="2659"/>
          <a:chExt cx="7140" cy="4320"/>
        </a:xfrm>
      </xdr:grpSpPr>
      <xdr:sp macro="" textlink="">
        <xdr:nvSpPr>
          <xdr:cNvPr id="35" name="AutoShape 4">
            <a:extLst>
              <a:ext uri="{FF2B5EF4-FFF2-40B4-BE49-F238E27FC236}">
                <a16:creationId xmlns:a16="http://schemas.microsoft.com/office/drawing/2014/main" xmlns="" id="{00000000-0008-0000-0000-000015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220</xdr:row>
      <xdr:rowOff>0</xdr:rowOff>
    </xdr:from>
    <xdr:to>
      <xdr:col>3</xdr:col>
      <xdr:colOff>447675</xdr:colOff>
      <xdr:row>221</xdr:row>
      <xdr:rowOff>0</xdr:rowOff>
    </xdr:to>
    <xdr:grpSp>
      <xdr:nvGrpSpPr>
        <xdr:cNvPr id="36" name="Group 3">
          <a:extLst>
            <a:ext uri="{FF2B5EF4-FFF2-40B4-BE49-F238E27FC236}">
              <a16:creationId xmlns:a16="http://schemas.microsoft.com/office/drawing/2014/main" xmlns="" id="{00000000-0008-0000-0000-000008000000}"/>
            </a:ext>
          </a:extLst>
        </xdr:cNvPr>
        <xdr:cNvGrpSpPr>
          <a:grpSpLocks noChangeAspect="1"/>
        </xdr:cNvGrpSpPr>
      </xdr:nvGrpSpPr>
      <xdr:grpSpPr bwMode="auto">
        <a:xfrm>
          <a:off x="3309938" y="153304875"/>
          <a:ext cx="447675" cy="285750"/>
          <a:chOff x="4846" y="2659"/>
          <a:chExt cx="7140" cy="4320"/>
        </a:xfrm>
      </xdr:grpSpPr>
      <xdr:sp macro="" textlink="">
        <xdr:nvSpPr>
          <xdr:cNvPr id="37" name="AutoShape 4">
            <a:extLst>
              <a:ext uri="{FF2B5EF4-FFF2-40B4-BE49-F238E27FC236}">
                <a16:creationId xmlns:a16="http://schemas.microsoft.com/office/drawing/2014/main" xmlns="" id="{00000000-0008-0000-0000-000009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220</xdr:row>
      <xdr:rowOff>0</xdr:rowOff>
    </xdr:from>
    <xdr:to>
      <xdr:col>3</xdr:col>
      <xdr:colOff>447675</xdr:colOff>
      <xdr:row>221</xdr:row>
      <xdr:rowOff>0</xdr:rowOff>
    </xdr:to>
    <xdr:grpSp>
      <xdr:nvGrpSpPr>
        <xdr:cNvPr id="38" name="Group 3">
          <a:extLst>
            <a:ext uri="{FF2B5EF4-FFF2-40B4-BE49-F238E27FC236}">
              <a16:creationId xmlns:a16="http://schemas.microsoft.com/office/drawing/2014/main" xmlns="" id="{00000000-0008-0000-0000-000014000000}"/>
            </a:ext>
          </a:extLst>
        </xdr:cNvPr>
        <xdr:cNvGrpSpPr>
          <a:grpSpLocks noChangeAspect="1"/>
        </xdr:cNvGrpSpPr>
      </xdr:nvGrpSpPr>
      <xdr:grpSpPr bwMode="auto">
        <a:xfrm>
          <a:off x="3309938" y="153304875"/>
          <a:ext cx="447675" cy="285750"/>
          <a:chOff x="4846" y="2659"/>
          <a:chExt cx="7140" cy="4320"/>
        </a:xfrm>
      </xdr:grpSpPr>
      <xdr:sp macro="" textlink="">
        <xdr:nvSpPr>
          <xdr:cNvPr id="39" name="AutoShape 4">
            <a:extLst>
              <a:ext uri="{FF2B5EF4-FFF2-40B4-BE49-F238E27FC236}">
                <a16:creationId xmlns:a16="http://schemas.microsoft.com/office/drawing/2014/main" xmlns="" id="{00000000-0008-0000-0000-000015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221</xdr:row>
      <xdr:rowOff>0</xdr:rowOff>
    </xdr:from>
    <xdr:to>
      <xdr:col>3</xdr:col>
      <xdr:colOff>447675</xdr:colOff>
      <xdr:row>222</xdr:row>
      <xdr:rowOff>0</xdr:rowOff>
    </xdr:to>
    <xdr:grpSp>
      <xdr:nvGrpSpPr>
        <xdr:cNvPr id="40" name="Group 3">
          <a:extLst>
            <a:ext uri="{FF2B5EF4-FFF2-40B4-BE49-F238E27FC236}">
              <a16:creationId xmlns:a16="http://schemas.microsoft.com/office/drawing/2014/main" xmlns="" id="{00000000-0008-0000-0000-000008000000}"/>
            </a:ext>
          </a:extLst>
        </xdr:cNvPr>
        <xdr:cNvGrpSpPr>
          <a:grpSpLocks noChangeAspect="1"/>
        </xdr:cNvGrpSpPr>
      </xdr:nvGrpSpPr>
      <xdr:grpSpPr bwMode="auto">
        <a:xfrm>
          <a:off x="3309938" y="153590625"/>
          <a:ext cx="447675" cy="892969"/>
          <a:chOff x="4846" y="2659"/>
          <a:chExt cx="7140" cy="4320"/>
        </a:xfrm>
      </xdr:grpSpPr>
      <xdr:sp macro="" textlink="">
        <xdr:nvSpPr>
          <xdr:cNvPr id="41" name="AutoShape 4">
            <a:extLst>
              <a:ext uri="{FF2B5EF4-FFF2-40B4-BE49-F238E27FC236}">
                <a16:creationId xmlns:a16="http://schemas.microsoft.com/office/drawing/2014/main" xmlns="" id="{00000000-0008-0000-0000-000009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221</xdr:row>
      <xdr:rowOff>0</xdr:rowOff>
    </xdr:from>
    <xdr:to>
      <xdr:col>3</xdr:col>
      <xdr:colOff>447675</xdr:colOff>
      <xdr:row>222</xdr:row>
      <xdr:rowOff>0</xdr:rowOff>
    </xdr:to>
    <xdr:grpSp>
      <xdr:nvGrpSpPr>
        <xdr:cNvPr id="42" name="Group 3">
          <a:extLst>
            <a:ext uri="{FF2B5EF4-FFF2-40B4-BE49-F238E27FC236}">
              <a16:creationId xmlns:a16="http://schemas.microsoft.com/office/drawing/2014/main" xmlns="" id="{00000000-0008-0000-0000-000014000000}"/>
            </a:ext>
          </a:extLst>
        </xdr:cNvPr>
        <xdr:cNvGrpSpPr>
          <a:grpSpLocks noChangeAspect="1"/>
        </xdr:cNvGrpSpPr>
      </xdr:nvGrpSpPr>
      <xdr:grpSpPr bwMode="auto">
        <a:xfrm>
          <a:off x="3309938" y="153590625"/>
          <a:ext cx="447675" cy="892969"/>
          <a:chOff x="4846" y="2659"/>
          <a:chExt cx="7140" cy="4320"/>
        </a:xfrm>
      </xdr:grpSpPr>
      <xdr:sp macro="" textlink="">
        <xdr:nvSpPr>
          <xdr:cNvPr id="43" name="AutoShape 4">
            <a:extLst>
              <a:ext uri="{FF2B5EF4-FFF2-40B4-BE49-F238E27FC236}">
                <a16:creationId xmlns:a16="http://schemas.microsoft.com/office/drawing/2014/main" xmlns="" id="{00000000-0008-0000-0000-000015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224</xdr:row>
      <xdr:rowOff>0</xdr:rowOff>
    </xdr:from>
    <xdr:to>
      <xdr:col>3</xdr:col>
      <xdr:colOff>447675</xdr:colOff>
      <xdr:row>225</xdr:row>
      <xdr:rowOff>0</xdr:rowOff>
    </xdr:to>
    <xdr:grpSp>
      <xdr:nvGrpSpPr>
        <xdr:cNvPr id="45" name="Group 3">
          <a:extLst>
            <a:ext uri="{FF2B5EF4-FFF2-40B4-BE49-F238E27FC236}">
              <a16:creationId xmlns:a16="http://schemas.microsoft.com/office/drawing/2014/main" xmlns="" id="{00000000-0008-0000-0000-00000A000000}"/>
            </a:ext>
          </a:extLst>
        </xdr:cNvPr>
        <xdr:cNvGrpSpPr>
          <a:grpSpLocks noChangeAspect="1"/>
        </xdr:cNvGrpSpPr>
      </xdr:nvGrpSpPr>
      <xdr:grpSpPr bwMode="auto">
        <a:xfrm>
          <a:off x="3309938" y="155126531"/>
          <a:ext cx="447675" cy="690563"/>
          <a:chOff x="4846" y="2659"/>
          <a:chExt cx="7140" cy="4320"/>
        </a:xfrm>
      </xdr:grpSpPr>
      <xdr:sp macro="" textlink="">
        <xdr:nvSpPr>
          <xdr:cNvPr id="46" name="AutoShape 4">
            <a:extLst>
              <a:ext uri="{FF2B5EF4-FFF2-40B4-BE49-F238E27FC236}">
                <a16:creationId xmlns:a16="http://schemas.microsoft.com/office/drawing/2014/main" xmlns="" id="{00000000-0008-0000-0000-00000D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224</xdr:row>
      <xdr:rowOff>0</xdr:rowOff>
    </xdr:from>
    <xdr:to>
      <xdr:col>3</xdr:col>
      <xdr:colOff>447675</xdr:colOff>
      <xdr:row>225</xdr:row>
      <xdr:rowOff>0</xdr:rowOff>
    </xdr:to>
    <xdr:grpSp>
      <xdr:nvGrpSpPr>
        <xdr:cNvPr id="47" name="Group 3">
          <a:extLst>
            <a:ext uri="{FF2B5EF4-FFF2-40B4-BE49-F238E27FC236}">
              <a16:creationId xmlns:a16="http://schemas.microsoft.com/office/drawing/2014/main" xmlns="" id="{00000000-0008-0000-0000-000016000000}"/>
            </a:ext>
          </a:extLst>
        </xdr:cNvPr>
        <xdr:cNvGrpSpPr>
          <a:grpSpLocks noChangeAspect="1"/>
        </xdr:cNvGrpSpPr>
      </xdr:nvGrpSpPr>
      <xdr:grpSpPr bwMode="auto">
        <a:xfrm>
          <a:off x="3309938" y="155126531"/>
          <a:ext cx="447675" cy="690563"/>
          <a:chOff x="4846" y="2659"/>
          <a:chExt cx="7140" cy="4320"/>
        </a:xfrm>
      </xdr:grpSpPr>
      <xdr:sp macro="" textlink="">
        <xdr:nvSpPr>
          <xdr:cNvPr id="48" name="AutoShape 4">
            <a:extLst>
              <a:ext uri="{FF2B5EF4-FFF2-40B4-BE49-F238E27FC236}">
                <a16:creationId xmlns:a16="http://schemas.microsoft.com/office/drawing/2014/main" xmlns="" id="{00000000-0008-0000-0000-000017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229</xdr:row>
      <xdr:rowOff>0</xdr:rowOff>
    </xdr:from>
    <xdr:to>
      <xdr:col>3</xdr:col>
      <xdr:colOff>447675</xdr:colOff>
      <xdr:row>230</xdr:row>
      <xdr:rowOff>0</xdr:rowOff>
    </xdr:to>
    <xdr:grpSp>
      <xdr:nvGrpSpPr>
        <xdr:cNvPr id="49" name="Group 3">
          <a:extLst>
            <a:ext uri="{FF2B5EF4-FFF2-40B4-BE49-F238E27FC236}">
              <a16:creationId xmlns:a16="http://schemas.microsoft.com/office/drawing/2014/main" xmlns="" id="{00000000-0008-0000-0000-000010000000}"/>
            </a:ext>
          </a:extLst>
        </xdr:cNvPr>
        <xdr:cNvGrpSpPr>
          <a:grpSpLocks noChangeAspect="1"/>
        </xdr:cNvGrpSpPr>
      </xdr:nvGrpSpPr>
      <xdr:grpSpPr bwMode="auto">
        <a:xfrm>
          <a:off x="3309938" y="159138938"/>
          <a:ext cx="447675" cy="571500"/>
          <a:chOff x="4846" y="2659"/>
          <a:chExt cx="7140" cy="4320"/>
        </a:xfrm>
      </xdr:grpSpPr>
      <xdr:sp macro="" textlink="">
        <xdr:nvSpPr>
          <xdr:cNvPr id="50" name="AutoShape 4">
            <a:extLst>
              <a:ext uri="{FF2B5EF4-FFF2-40B4-BE49-F238E27FC236}">
                <a16:creationId xmlns:a16="http://schemas.microsoft.com/office/drawing/2014/main" xmlns="" id="{00000000-0008-0000-0000-000011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229</xdr:row>
      <xdr:rowOff>0</xdr:rowOff>
    </xdr:from>
    <xdr:to>
      <xdr:col>3</xdr:col>
      <xdr:colOff>447675</xdr:colOff>
      <xdr:row>230</xdr:row>
      <xdr:rowOff>0</xdr:rowOff>
    </xdr:to>
    <xdr:grpSp>
      <xdr:nvGrpSpPr>
        <xdr:cNvPr id="51" name="Group 3">
          <a:extLst>
            <a:ext uri="{FF2B5EF4-FFF2-40B4-BE49-F238E27FC236}">
              <a16:creationId xmlns:a16="http://schemas.microsoft.com/office/drawing/2014/main" xmlns="" id="{00000000-0008-0000-0000-00001A000000}"/>
            </a:ext>
          </a:extLst>
        </xdr:cNvPr>
        <xdr:cNvGrpSpPr>
          <a:grpSpLocks noChangeAspect="1"/>
        </xdr:cNvGrpSpPr>
      </xdr:nvGrpSpPr>
      <xdr:grpSpPr bwMode="auto">
        <a:xfrm>
          <a:off x="3309938" y="159138938"/>
          <a:ext cx="447675" cy="571500"/>
          <a:chOff x="4846" y="2659"/>
          <a:chExt cx="7140" cy="4320"/>
        </a:xfrm>
      </xdr:grpSpPr>
      <xdr:sp macro="" textlink="">
        <xdr:nvSpPr>
          <xdr:cNvPr id="52" name="AutoShape 4">
            <a:extLst>
              <a:ext uri="{FF2B5EF4-FFF2-40B4-BE49-F238E27FC236}">
                <a16:creationId xmlns:a16="http://schemas.microsoft.com/office/drawing/2014/main" xmlns="" id="{00000000-0008-0000-0000-00001B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233</xdr:row>
      <xdr:rowOff>0</xdr:rowOff>
    </xdr:from>
    <xdr:to>
      <xdr:col>3</xdr:col>
      <xdr:colOff>447675</xdr:colOff>
      <xdr:row>234</xdr:row>
      <xdr:rowOff>0</xdr:rowOff>
    </xdr:to>
    <xdr:grpSp>
      <xdr:nvGrpSpPr>
        <xdr:cNvPr id="53" name="Group 3">
          <a:extLst>
            <a:ext uri="{FF2B5EF4-FFF2-40B4-BE49-F238E27FC236}">
              <a16:creationId xmlns:a16="http://schemas.microsoft.com/office/drawing/2014/main" xmlns="" id="{00000000-0008-0000-0000-000010000000}"/>
            </a:ext>
          </a:extLst>
        </xdr:cNvPr>
        <xdr:cNvGrpSpPr>
          <a:grpSpLocks noChangeAspect="1"/>
        </xdr:cNvGrpSpPr>
      </xdr:nvGrpSpPr>
      <xdr:grpSpPr bwMode="auto">
        <a:xfrm>
          <a:off x="3309938" y="161996438"/>
          <a:ext cx="447675" cy="809625"/>
          <a:chOff x="4846" y="2659"/>
          <a:chExt cx="7140" cy="4320"/>
        </a:xfrm>
      </xdr:grpSpPr>
      <xdr:sp macro="" textlink="">
        <xdr:nvSpPr>
          <xdr:cNvPr id="54" name="AutoShape 4">
            <a:extLst>
              <a:ext uri="{FF2B5EF4-FFF2-40B4-BE49-F238E27FC236}">
                <a16:creationId xmlns:a16="http://schemas.microsoft.com/office/drawing/2014/main" xmlns="" id="{00000000-0008-0000-0000-000011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233</xdr:row>
      <xdr:rowOff>0</xdr:rowOff>
    </xdr:from>
    <xdr:to>
      <xdr:col>3</xdr:col>
      <xdr:colOff>447675</xdr:colOff>
      <xdr:row>234</xdr:row>
      <xdr:rowOff>0</xdr:rowOff>
    </xdr:to>
    <xdr:grpSp>
      <xdr:nvGrpSpPr>
        <xdr:cNvPr id="55" name="Group 3">
          <a:extLst>
            <a:ext uri="{FF2B5EF4-FFF2-40B4-BE49-F238E27FC236}">
              <a16:creationId xmlns:a16="http://schemas.microsoft.com/office/drawing/2014/main" xmlns="" id="{00000000-0008-0000-0000-00001A000000}"/>
            </a:ext>
          </a:extLst>
        </xdr:cNvPr>
        <xdr:cNvGrpSpPr>
          <a:grpSpLocks noChangeAspect="1"/>
        </xdr:cNvGrpSpPr>
      </xdr:nvGrpSpPr>
      <xdr:grpSpPr bwMode="auto">
        <a:xfrm>
          <a:off x="3309938" y="161996438"/>
          <a:ext cx="447675" cy="809625"/>
          <a:chOff x="4846" y="2659"/>
          <a:chExt cx="7140" cy="4320"/>
        </a:xfrm>
      </xdr:grpSpPr>
      <xdr:sp macro="" textlink="">
        <xdr:nvSpPr>
          <xdr:cNvPr id="56" name="AutoShape 4">
            <a:extLst>
              <a:ext uri="{FF2B5EF4-FFF2-40B4-BE49-F238E27FC236}">
                <a16:creationId xmlns:a16="http://schemas.microsoft.com/office/drawing/2014/main" xmlns="" id="{00000000-0008-0000-0000-00001B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237</xdr:row>
      <xdr:rowOff>0</xdr:rowOff>
    </xdr:from>
    <xdr:to>
      <xdr:col>3</xdr:col>
      <xdr:colOff>447675</xdr:colOff>
      <xdr:row>238</xdr:row>
      <xdr:rowOff>0</xdr:rowOff>
    </xdr:to>
    <xdr:grpSp>
      <xdr:nvGrpSpPr>
        <xdr:cNvPr id="57" name="Group 3">
          <a:extLst>
            <a:ext uri="{FF2B5EF4-FFF2-40B4-BE49-F238E27FC236}">
              <a16:creationId xmlns:a16="http://schemas.microsoft.com/office/drawing/2014/main" xmlns="" id="{00000000-0008-0000-0000-000010000000}"/>
            </a:ext>
          </a:extLst>
        </xdr:cNvPr>
        <xdr:cNvGrpSpPr>
          <a:grpSpLocks noChangeAspect="1"/>
        </xdr:cNvGrpSpPr>
      </xdr:nvGrpSpPr>
      <xdr:grpSpPr bwMode="auto">
        <a:xfrm>
          <a:off x="3309938" y="164091938"/>
          <a:ext cx="447675" cy="1428750"/>
          <a:chOff x="4846" y="2659"/>
          <a:chExt cx="7140" cy="4320"/>
        </a:xfrm>
      </xdr:grpSpPr>
      <xdr:sp macro="" textlink="">
        <xdr:nvSpPr>
          <xdr:cNvPr id="58" name="AutoShape 4">
            <a:extLst>
              <a:ext uri="{FF2B5EF4-FFF2-40B4-BE49-F238E27FC236}">
                <a16:creationId xmlns:a16="http://schemas.microsoft.com/office/drawing/2014/main" xmlns="" id="{00000000-0008-0000-0000-000011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twoCellAnchor>
    <xdr:from>
      <xdr:col>3</xdr:col>
      <xdr:colOff>0</xdr:colOff>
      <xdr:row>237</xdr:row>
      <xdr:rowOff>0</xdr:rowOff>
    </xdr:from>
    <xdr:to>
      <xdr:col>3</xdr:col>
      <xdr:colOff>447675</xdr:colOff>
      <xdr:row>238</xdr:row>
      <xdr:rowOff>0</xdr:rowOff>
    </xdr:to>
    <xdr:grpSp>
      <xdr:nvGrpSpPr>
        <xdr:cNvPr id="59" name="Group 3">
          <a:extLst>
            <a:ext uri="{FF2B5EF4-FFF2-40B4-BE49-F238E27FC236}">
              <a16:creationId xmlns:a16="http://schemas.microsoft.com/office/drawing/2014/main" xmlns="" id="{00000000-0008-0000-0000-00001A000000}"/>
            </a:ext>
          </a:extLst>
        </xdr:cNvPr>
        <xdr:cNvGrpSpPr>
          <a:grpSpLocks noChangeAspect="1"/>
        </xdr:cNvGrpSpPr>
      </xdr:nvGrpSpPr>
      <xdr:grpSpPr bwMode="auto">
        <a:xfrm>
          <a:off x="3309938" y="164091938"/>
          <a:ext cx="447675" cy="1428750"/>
          <a:chOff x="4846" y="2659"/>
          <a:chExt cx="7140" cy="4320"/>
        </a:xfrm>
      </xdr:grpSpPr>
      <xdr:sp macro="" textlink="">
        <xdr:nvSpPr>
          <xdr:cNvPr id="60" name="AutoShape 4">
            <a:extLst>
              <a:ext uri="{FF2B5EF4-FFF2-40B4-BE49-F238E27FC236}">
                <a16:creationId xmlns:a16="http://schemas.microsoft.com/office/drawing/2014/main" xmlns="" id="{00000000-0008-0000-0000-00001B000000}"/>
              </a:ext>
            </a:extLst>
          </xdr:cNvPr>
          <xdr:cNvSpPr>
            <a:spLocks noChangeAspect="1" noChangeArrowheads="1"/>
          </xdr:cNvSpPr>
        </xdr:nvSpPr>
        <xdr:spPr bwMode="auto">
          <a:xfrm>
            <a:off x="4846" y="2659"/>
            <a:ext cx="7140" cy="4320"/>
          </a:xfrm>
          <a:prstGeom prst="rect">
            <a:avLst/>
          </a:prstGeom>
          <a:noFill/>
          <a:ln w="9525">
            <a:noFill/>
            <a:miter lim="800000"/>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510200</xdr:colOff>
      <xdr:row>9</xdr:row>
      <xdr:rowOff>303067</xdr:rowOff>
    </xdr:from>
    <xdr:to>
      <xdr:col>32</xdr:col>
      <xdr:colOff>285750</xdr:colOff>
      <xdr:row>48</xdr:row>
      <xdr:rowOff>352424</xdr:rowOff>
    </xdr:to>
    <xdr:graphicFrame macro="">
      <xdr:nvGraphicFramePr>
        <xdr:cNvPr id="2" name="Диаграмма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xdr:from>
          <xdr:col>20</xdr:col>
          <xdr:colOff>0</xdr:colOff>
          <xdr:row>48</xdr:row>
          <xdr:rowOff>0</xdr:rowOff>
        </xdr:from>
        <xdr:to>
          <xdr:col>20</xdr:col>
          <xdr:colOff>0</xdr:colOff>
          <xdr:row>80</xdr:row>
          <xdr:rowOff>514350</xdr:rowOff>
        </xdr:to>
        <xdr:sp macro="" textlink="">
          <xdr:nvSpPr>
            <xdr:cNvPr id="1025" name="Диаграмма 2" hidden="1">
              <a:extLst>
                <a:ext uri="{63B3BB69-23CF-44E3-9099-C40C66FF867C}">
                  <a14:compatExt spid="_x0000_s10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7</xdr:col>
          <xdr:colOff>0</xdr:colOff>
          <xdr:row>9</xdr:row>
          <xdr:rowOff>0</xdr:rowOff>
        </xdr:from>
        <xdr:to>
          <xdr:col>7</xdr:col>
          <xdr:colOff>0</xdr:colOff>
          <xdr:row>11</xdr:row>
          <xdr:rowOff>0</xdr:rowOff>
        </xdr:to>
        <xdr:sp macro="" textlink="">
          <xdr:nvSpPr>
            <xdr:cNvPr id="11265" name="Диаграмма 2" hidden="1">
              <a:extLst>
                <a:ext uri="{63B3BB69-23CF-44E3-9099-C40C66FF867C}">
                  <a14:compatExt spid="_x0000_s1126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0</xdr:colOff>
          <xdr:row>16</xdr:row>
          <xdr:rowOff>0</xdr:rowOff>
        </xdr:from>
        <xdr:to>
          <xdr:col>7</xdr:col>
          <xdr:colOff>0</xdr:colOff>
          <xdr:row>21</xdr:row>
          <xdr:rowOff>514350</xdr:rowOff>
        </xdr:to>
        <xdr:sp macro="" textlink="">
          <xdr:nvSpPr>
            <xdr:cNvPr id="11266" name="Object 2" hidden="1">
              <a:extLst>
                <a:ext uri="{63B3BB69-23CF-44E3-9099-C40C66FF867C}">
                  <a14:compatExt spid="_x0000_s1126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0</xdr:colOff>
          <xdr:row>16</xdr:row>
          <xdr:rowOff>0</xdr:rowOff>
        </xdr:from>
        <xdr:to>
          <xdr:col>7</xdr:col>
          <xdr:colOff>0</xdr:colOff>
          <xdr:row>21</xdr:row>
          <xdr:rowOff>514350</xdr:rowOff>
        </xdr:to>
        <xdr:sp macro="" textlink="">
          <xdr:nvSpPr>
            <xdr:cNvPr id="11267" name="Object 3" hidden="1">
              <a:extLst>
                <a:ext uri="{63B3BB69-23CF-44E3-9099-C40C66FF867C}">
                  <a14:compatExt spid="_x0000_s1126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OTDELY\15\&#1043;&#1054;&#1057;%20&#1055;&#1056;&#1054;&#1043;&#1056;&#1040;&#1052;&#1052;&#1067;\&#1054;&#1058;&#1063;&#1045;&#1058;&#1067;%20&#1087;&#1086;%20&#1043;&#1055;\2023\&#1043;&#1054;&#1044;&#1054;&#1042;&#1054;&#1049;%202023\+%20&#1043;&#1055;%20&#1050;&#1091;&#1083;&#1100;&#1090;&#1091;&#1088;&#1072;\&#1054;&#1090;&#1095;&#1077;&#1090;%20&#1086;%20&#1093;&#1086;&#1076;&#1077;%20&#1088;&#1077;&#1072;&#1083;&#1080;&#1079;&#1072;&#1094;&#1080;&#1080;%20&#1043;&#1055;%20&#1052;&#1054;%20&#1050;&#1091;&#1083;&#1100;&#1090;&#1091;&#1088;&#1072;_&#1048;&#1058;&#1054;&#104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ГП Культура_Мероприятия"/>
      <sheetName val="ГП Культура_отчет ОКС"/>
      <sheetName val="Культура_Показатели"/>
      <sheetName val="Культура_Механизмы фин поддержк"/>
      <sheetName val="Культура_Оценка эффект"/>
    </sheetNames>
    <sheetDataSet>
      <sheetData sheetId="0">
        <row r="581">
          <cell r="B581" t="str">
            <v>Строительство Дома культуры в сельском поселении Алакуртти</v>
          </cell>
        </row>
        <row r="601">
          <cell r="B601" t="str">
            <v>Строительство здания центра культурного развития в г. Мурманске</v>
          </cell>
        </row>
        <row r="675">
          <cell r="E675">
            <v>0</v>
          </cell>
          <cell r="F675">
            <v>0</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consultantplus://offline/ref=1DAB841444F5CA6947AE6D9D23CE7F78801E5411DF9DACC1B90DC24224C600BA4CB756EF792FF197DEE5C70CD78E8784WDS5I"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1.emf"/><Relationship Id="rId4" Type="http://schemas.openxmlformats.org/officeDocument/2006/relationships/oleObject" Target="../embeddings/_____Microsoft_Excel_97-20031.xls"/></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oleObject" Target="../embeddings/_____Microsoft_Excel_97-20034.xls"/><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oleObject" Target="../embeddings/_____Microsoft_Excel_97-20033.xls"/><Relationship Id="rId5" Type="http://schemas.openxmlformats.org/officeDocument/2006/relationships/image" Target="../media/image1.emf"/><Relationship Id="rId4" Type="http://schemas.openxmlformats.org/officeDocument/2006/relationships/oleObject" Target="../embeddings/_____Microsoft_Excel_97-20032.xls"/></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outlinePr summaryBelow="0"/>
    <pageSetUpPr fitToPage="1"/>
  </sheetPr>
  <dimension ref="A1:AK532"/>
  <sheetViews>
    <sheetView showGridLines="0" tabSelected="1" view="pageBreakPreview" zoomScale="80" zoomScaleSheetLayoutView="80" workbookViewId="0">
      <pane xSplit="1" ySplit="5" topLeftCell="B6" activePane="bottomRight" state="frozen"/>
      <selection pane="topRight" activeCell="B1" sqref="B1"/>
      <selection pane="bottomLeft" activeCell="A6" sqref="A6"/>
      <selection pane="bottomRight" activeCell="B281" sqref="B281"/>
    </sheetView>
  </sheetViews>
  <sheetFormatPr defaultColWidth="10.140625" defaultRowHeight="11.25" outlineLevelRow="2" x14ac:dyDescent="0.25"/>
  <cols>
    <col min="1" max="1" width="6" style="83" customWidth="1"/>
    <col min="2" max="2" width="34" style="59" customWidth="1"/>
    <col min="3" max="3" width="9.7109375" style="59" customWidth="1"/>
    <col min="4" max="4" width="7.5703125" style="59" customWidth="1"/>
    <col min="5" max="5" width="10.5703125" style="59" bestFit="1" customWidth="1"/>
    <col min="6" max="7" width="7" style="59" customWidth="1"/>
    <col min="8" max="8" width="11.140625" style="59" customWidth="1"/>
    <col min="9" max="9" width="10.5703125" style="59" customWidth="1"/>
    <col min="10" max="10" width="56.5703125" style="59" customWidth="1"/>
    <col min="11" max="11" width="39.7109375" style="59" customWidth="1"/>
    <col min="12" max="12" width="17.42578125" style="87" customWidth="1"/>
    <col min="13" max="13" width="13.42578125" style="72" hidden="1" customWidth="1"/>
    <col min="14" max="15" width="8.85546875" style="72" hidden="1" customWidth="1"/>
    <col min="16" max="16" width="4.42578125" style="50" hidden="1" customWidth="1"/>
    <col min="17" max="17" width="6.140625" style="50" hidden="1" customWidth="1"/>
    <col min="18" max="18" width="5" style="97" hidden="1" customWidth="1"/>
    <col min="19" max="19" width="10.140625" style="97" hidden="1" customWidth="1"/>
    <col min="20" max="20" width="12.42578125" style="97" hidden="1" customWidth="1"/>
    <col min="21" max="22" width="15.5703125" style="97" hidden="1" customWidth="1"/>
    <col min="23" max="23" width="12" style="97" hidden="1" customWidth="1"/>
    <col min="24" max="24" width="10.140625" style="50" hidden="1" customWidth="1"/>
    <col min="25" max="25" width="3.85546875" style="50" hidden="1" customWidth="1"/>
    <col min="26" max="26" width="12.7109375" style="93" hidden="1" customWidth="1"/>
    <col min="27" max="27" width="13.7109375" style="93" hidden="1" customWidth="1"/>
    <col min="28" max="28" width="12.140625" style="93" hidden="1" customWidth="1"/>
    <col min="29" max="29" width="8.140625" style="57" hidden="1" customWidth="1"/>
    <col min="30" max="30" width="7.85546875" style="58" hidden="1" customWidth="1"/>
    <col min="31" max="31" width="6.42578125" style="59" customWidth="1"/>
    <col min="32" max="32" width="10.140625" style="59" customWidth="1"/>
    <col min="33" max="33" width="7.7109375" style="59" customWidth="1"/>
    <col min="34" max="34" width="16" style="59" customWidth="1"/>
    <col min="35" max="35" width="6.28515625" style="59" customWidth="1"/>
    <col min="36" max="36" width="9" style="59" customWidth="1"/>
    <col min="37" max="37" width="10.140625" style="59" hidden="1" customWidth="1"/>
    <col min="38" max="53" width="10.140625" style="59" customWidth="1"/>
    <col min="54" max="16384" width="10.140625" style="59"/>
  </cols>
  <sheetData>
    <row r="1" spans="1:37" s="45" customFormat="1" ht="15" x14ac:dyDescent="0.25">
      <c r="A1" s="43"/>
      <c r="B1" s="44"/>
      <c r="C1" s="44"/>
      <c r="E1" s="44"/>
      <c r="F1" s="44"/>
      <c r="G1" s="44"/>
      <c r="H1" s="46"/>
      <c r="I1" s="46"/>
      <c r="J1" s="44"/>
      <c r="K1" s="47"/>
      <c r="L1" s="414" t="s">
        <v>272</v>
      </c>
      <c r="M1" s="48"/>
      <c r="N1" s="48"/>
      <c r="O1" s="49"/>
      <c r="P1" s="47"/>
      <c r="Q1" s="47"/>
      <c r="R1" s="96"/>
      <c r="S1" s="165">
        <f>S5/$R$5</f>
        <v>7.9518072289156624E-2</v>
      </c>
      <c r="T1" s="165">
        <f>T5/$R$5</f>
        <v>9.3975903614457831E-2</v>
      </c>
      <c r="U1" s="165">
        <f t="shared" ref="U1:W1" si="0">U5/$R$5</f>
        <v>0.67228915662650601</v>
      </c>
      <c r="V1" s="165">
        <f t="shared" si="0"/>
        <v>7.7108433734939766E-2</v>
      </c>
      <c r="W1" s="165">
        <f t="shared" si="0"/>
        <v>7.7108433734939766E-2</v>
      </c>
      <c r="X1" s="138"/>
      <c r="Y1" s="51">
        <f>SUM(Z5:AB5)</f>
        <v>246</v>
      </c>
      <c r="Z1" s="165">
        <f>Z5/$Y$1</f>
        <v>0.45934959349593496</v>
      </c>
      <c r="AA1" s="165">
        <f t="shared" ref="AA1:AB1" si="1">AA5/$Y$1</f>
        <v>0.2886178861788618</v>
      </c>
      <c r="AB1" s="165">
        <f t="shared" si="1"/>
        <v>0.25203252032520324</v>
      </c>
      <c r="AC1" s="52"/>
      <c r="AD1" s="53"/>
      <c r="AK1" s="45">
        <f>SUM(T1:X1)-R1</f>
        <v>0.92048192771084347</v>
      </c>
    </row>
    <row r="2" spans="1:37" s="45" customFormat="1" ht="15.75" x14ac:dyDescent="0.25">
      <c r="A2" s="625" t="s">
        <v>1613</v>
      </c>
      <c r="B2" s="625"/>
      <c r="C2" s="625"/>
      <c r="D2" s="625"/>
      <c r="E2" s="625"/>
      <c r="F2" s="625"/>
      <c r="G2" s="625"/>
      <c r="H2" s="625"/>
      <c r="I2" s="625"/>
      <c r="J2" s="625"/>
      <c r="K2" s="625"/>
      <c r="L2" s="625"/>
      <c r="M2" s="31"/>
      <c r="N2" s="31"/>
      <c r="O2" s="31"/>
      <c r="P2" s="47"/>
      <c r="Q2" s="47"/>
      <c r="R2" s="96"/>
      <c r="S2" s="99"/>
      <c r="T2" s="99"/>
      <c r="U2" s="99"/>
      <c r="V2" s="99"/>
      <c r="W2" s="99"/>
      <c r="X2" s="54"/>
      <c r="Y2" s="54"/>
      <c r="Z2" s="92"/>
      <c r="AA2" s="92"/>
      <c r="AB2" s="92"/>
      <c r="AC2" s="52"/>
      <c r="AD2" s="53"/>
    </row>
    <row r="3" spans="1:37" s="45" customFormat="1" x14ac:dyDescent="0.25">
      <c r="A3" s="55"/>
      <c r="B3" s="32"/>
      <c r="C3" s="32"/>
      <c r="E3" s="32"/>
      <c r="F3" s="32"/>
      <c r="G3" s="32"/>
      <c r="H3" s="32"/>
      <c r="I3" s="32"/>
      <c r="J3" s="32"/>
      <c r="K3" s="47"/>
      <c r="L3" s="86"/>
      <c r="M3" s="33"/>
      <c r="N3" s="34"/>
      <c r="O3" s="35"/>
      <c r="P3" s="47"/>
      <c r="Q3" s="47"/>
      <c r="R3" s="96"/>
      <c r="S3" s="97"/>
      <c r="T3" s="97"/>
      <c r="U3" s="97"/>
      <c r="V3" s="97"/>
      <c r="W3" s="97"/>
      <c r="X3" s="50"/>
      <c r="Y3" s="50"/>
      <c r="Z3" s="93"/>
      <c r="AA3" s="93"/>
      <c r="AB3" s="93"/>
      <c r="AC3" s="478">
        <f>AVERAGE(N7:N494)</f>
        <v>0.95449571800931488</v>
      </c>
      <c r="AD3" s="478">
        <f>AVERAGE(O7:O494)</f>
        <v>1.0054579814641948</v>
      </c>
    </row>
    <row r="4" spans="1:37" s="45" customFormat="1" ht="45" x14ac:dyDescent="0.25">
      <c r="A4" s="626" t="s">
        <v>273</v>
      </c>
      <c r="B4" s="627" t="s">
        <v>274</v>
      </c>
      <c r="C4" s="629" t="s">
        <v>275</v>
      </c>
      <c r="D4" s="630" t="s">
        <v>276</v>
      </c>
      <c r="E4" s="36">
        <v>2023</v>
      </c>
      <c r="F4" s="631">
        <v>2024</v>
      </c>
      <c r="G4" s="632"/>
      <c r="H4" s="633" t="s">
        <v>277</v>
      </c>
      <c r="I4" s="633" t="s">
        <v>278</v>
      </c>
      <c r="J4" s="629" t="s">
        <v>279</v>
      </c>
      <c r="K4" s="629" t="s">
        <v>280</v>
      </c>
      <c r="L4" s="634" t="s">
        <v>281</v>
      </c>
      <c r="M4" s="636" t="s">
        <v>282</v>
      </c>
      <c r="N4" s="637" t="s">
        <v>283</v>
      </c>
      <c r="O4" s="637" t="s">
        <v>284</v>
      </c>
      <c r="P4" s="47"/>
      <c r="Q4" s="47"/>
      <c r="R4" s="100" t="s">
        <v>285</v>
      </c>
      <c r="S4" s="101" t="s">
        <v>286</v>
      </c>
      <c r="T4" s="102" t="s">
        <v>287</v>
      </c>
      <c r="U4" s="103" t="s">
        <v>288</v>
      </c>
      <c r="V4" s="103" t="s">
        <v>289</v>
      </c>
      <c r="W4" s="103" t="s">
        <v>290</v>
      </c>
      <c r="X4" s="56" t="s">
        <v>286</v>
      </c>
      <c r="Z4" s="341" t="s">
        <v>291</v>
      </c>
      <c r="AA4" s="341" t="s">
        <v>1981</v>
      </c>
      <c r="AB4" s="341" t="s">
        <v>292</v>
      </c>
      <c r="AC4" s="52"/>
      <c r="AD4" s="53"/>
    </row>
    <row r="5" spans="1:37" x14ac:dyDescent="0.25">
      <c r="A5" s="626"/>
      <c r="B5" s="628"/>
      <c r="C5" s="629"/>
      <c r="D5" s="630"/>
      <c r="E5" s="37" t="s">
        <v>293</v>
      </c>
      <c r="F5" s="37" t="s">
        <v>294</v>
      </c>
      <c r="G5" s="37" t="s">
        <v>293</v>
      </c>
      <c r="H5" s="633"/>
      <c r="I5" s="633"/>
      <c r="J5" s="629" t="s">
        <v>295</v>
      </c>
      <c r="K5" s="629" t="s">
        <v>295</v>
      </c>
      <c r="L5" s="635" t="s">
        <v>296</v>
      </c>
      <c r="M5" s="636"/>
      <c r="N5" s="637"/>
      <c r="O5" s="637"/>
      <c r="R5" s="163">
        <f>S5+T5+U5+V5+W5</f>
        <v>415</v>
      </c>
      <c r="S5" s="164">
        <f>S497</f>
        <v>33</v>
      </c>
      <c r="T5" s="164">
        <f t="shared" ref="T5:AB5" si="2">T497</f>
        <v>39</v>
      </c>
      <c r="U5" s="164">
        <f>U497</f>
        <v>279</v>
      </c>
      <c r="V5" s="164">
        <f>V497</f>
        <v>32</v>
      </c>
      <c r="W5" s="164">
        <f t="shared" si="2"/>
        <v>32</v>
      </c>
      <c r="X5" s="164">
        <f>X497</f>
        <v>0</v>
      </c>
      <c r="Y5" s="164">
        <f t="shared" si="2"/>
        <v>0</v>
      </c>
      <c r="Z5" s="164">
        <f t="shared" si="2"/>
        <v>113</v>
      </c>
      <c r="AA5" s="164">
        <f t="shared" si="2"/>
        <v>71</v>
      </c>
      <c r="AB5" s="164">
        <f t="shared" si="2"/>
        <v>62</v>
      </c>
    </row>
    <row r="6" spans="1:37" s="45" customFormat="1" ht="17.25" customHeight="1" x14ac:dyDescent="0.25">
      <c r="A6" s="401">
        <v>1</v>
      </c>
      <c r="B6" s="624" t="s">
        <v>669</v>
      </c>
      <c r="C6" s="624"/>
      <c r="D6" s="624"/>
      <c r="E6" s="624"/>
      <c r="F6" s="624"/>
      <c r="G6" s="624"/>
      <c r="H6" s="402">
        <f>AVERAGE(N7:N70)</f>
        <v>0.97207763747507803</v>
      </c>
      <c r="I6" s="402">
        <f>AVERAGE(O7:O70)</f>
        <v>1.0225370837417926</v>
      </c>
      <c r="J6" s="474"/>
      <c r="K6" s="403"/>
      <c r="L6" s="404"/>
      <c r="M6" s="61"/>
      <c r="N6" s="49"/>
      <c r="O6" s="49"/>
      <c r="P6" s="47"/>
      <c r="Q6" s="47"/>
      <c r="R6" s="104">
        <f>COUNTA(C7:C15,C17:C31,C33:C42,C44:C48,C50:C55,C57:C62,C64:C67,C69:C70)</f>
        <v>57</v>
      </c>
      <c r="S6" s="96">
        <f>R6-T6-U6-V6-W6</f>
        <v>9</v>
      </c>
      <c r="T6" s="104">
        <f>COUNTIFS(AC7:AC70,"&gt;1,50")</f>
        <v>1</v>
      </c>
      <c r="U6" s="104">
        <f>COUNTIFS(AC7:AC70,"&gt;=0,995",AC7:AC70,"&lt;=1,5")</f>
        <v>43</v>
      </c>
      <c r="V6" s="104">
        <f>COUNTIFS(AC7:AC70,"&gt;=0,85",AC7:AC70,"&lt;0,995")</f>
        <v>0</v>
      </c>
      <c r="W6" s="104">
        <f>COUNTIFS(AC7:AC70,"&lt;0,85")</f>
        <v>4</v>
      </c>
      <c r="X6" s="47">
        <v>10</v>
      </c>
      <c r="Z6" s="94">
        <f>COUNTIFS(AD7:AD70,"&gt;=1,01")</f>
        <v>16</v>
      </c>
      <c r="AA6" s="94">
        <f>COUNTIFS(AD7:AD70,"&gt;=0,99",AD7:AD70,"&lt;1,01")</f>
        <v>12</v>
      </c>
      <c r="AB6" s="95">
        <f>COUNTIFS(AD7:AD70,"&lt;0,99")</f>
        <v>7</v>
      </c>
      <c r="AC6" s="64"/>
      <c r="AD6" s="64"/>
      <c r="AK6" s="45">
        <f>SUM(T6:X6)-R6</f>
        <v>1</v>
      </c>
    </row>
    <row r="7" spans="1:37" ht="135" outlineLevel="2" x14ac:dyDescent="0.25">
      <c r="A7" s="236" t="s">
        <v>297</v>
      </c>
      <c r="B7" s="141" t="s">
        <v>1875</v>
      </c>
      <c r="C7" s="153" t="s">
        <v>1878</v>
      </c>
      <c r="D7" s="226" t="s">
        <v>298</v>
      </c>
      <c r="E7" s="232">
        <v>12.8</v>
      </c>
      <c r="F7" s="232">
        <v>13</v>
      </c>
      <c r="G7" s="232">
        <v>12.3</v>
      </c>
      <c r="H7" s="228">
        <f>F7/G7</f>
        <v>1.056910569105691</v>
      </c>
      <c r="I7" s="228">
        <f>(E7/G7)</f>
        <v>1.0406504065040649</v>
      </c>
      <c r="J7" s="229" t="s">
        <v>1319</v>
      </c>
      <c r="K7" s="229" t="s">
        <v>1318</v>
      </c>
      <c r="L7" s="63" t="s">
        <v>53</v>
      </c>
      <c r="M7" s="63">
        <v>-1</v>
      </c>
      <c r="N7" s="41"/>
      <c r="O7" s="41"/>
      <c r="AC7" s="64"/>
      <c r="AD7" s="64"/>
    </row>
    <row r="8" spans="1:37" ht="49.5" customHeight="1" outlineLevel="2" x14ac:dyDescent="0.25">
      <c r="A8" s="236" t="s">
        <v>299</v>
      </c>
      <c r="B8" s="141" t="s">
        <v>301</v>
      </c>
      <c r="C8" s="153" t="s">
        <v>1878</v>
      </c>
      <c r="D8" s="226" t="s">
        <v>298</v>
      </c>
      <c r="E8" s="232">
        <v>4.7</v>
      </c>
      <c r="F8" s="232">
        <v>4.7</v>
      </c>
      <c r="G8" s="232">
        <v>4.0999999999999996</v>
      </c>
      <c r="H8" s="228">
        <f t="shared" ref="H8:H12" si="3">F8/G8</f>
        <v>1.1463414634146343</v>
      </c>
      <c r="I8" s="228">
        <f>(E8/G8)</f>
        <v>1.1463414634146343</v>
      </c>
      <c r="J8" s="229" t="s">
        <v>1319</v>
      </c>
      <c r="K8" s="229" t="s">
        <v>1251</v>
      </c>
      <c r="L8" s="63" t="s">
        <v>53</v>
      </c>
      <c r="M8" s="63">
        <v>-1</v>
      </c>
      <c r="N8" s="41"/>
      <c r="O8" s="41"/>
      <c r="AC8" s="64"/>
      <c r="AD8" s="64"/>
    </row>
    <row r="9" spans="1:37" ht="111.75" customHeight="1" outlineLevel="2" x14ac:dyDescent="0.25">
      <c r="A9" s="236" t="s">
        <v>300</v>
      </c>
      <c r="B9" s="141" t="s">
        <v>1876</v>
      </c>
      <c r="C9" s="153" t="s">
        <v>1879</v>
      </c>
      <c r="D9" s="226" t="s">
        <v>298</v>
      </c>
      <c r="E9" s="232">
        <v>637.4</v>
      </c>
      <c r="F9" s="232">
        <v>614.5</v>
      </c>
      <c r="G9" s="232">
        <v>606.5</v>
      </c>
      <c r="H9" s="228">
        <f t="shared" si="3"/>
        <v>1.0131904369332234</v>
      </c>
      <c r="I9" s="228">
        <f t="shared" ref="I9:I12" si="4">E9/G9</f>
        <v>1.0509480626545753</v>
      </c>
      <c r="J9" s="229" t="s">
        <v>1321</v>
      </c>
      <c r="K9" s="229" t="s">
        <v>1251</v>
      </c>
      <c r="L9" s="63" t="s">
        <v>53</v>
      </c>
      <c r="M9" s="63">
        <v>-1</v>
      </c>
      <c r="N9" s="41"/>
      <c r="O9" s="41"/>
      <c r="AC9" s="64"/>
      <c r="AD9" s="64"/>
    </row>
    <row r="10" spans="1:37" ht="73.5" customHeight="1" outlineLevel="2" x14ac:dyDescent="0.25">
      <c r="A10" s="236" t="s">
        <v>302</v>
      </c>
      <c r="B10" s="141" t="s">
        <v>1877</v>
      </c>
      <c r="C10" s="153" t="s">
        <v>1879</v>
      </c>
      <c r="D10" s="226" t="s">
        <v>298</v>
      </c>
      <c r="E10" s="232">
        <v>213.6</v>
      </c>
      <c r="F10" s="232">
        <v>208</v>
      </c>
      <c r="G10" s="232">
        <v>204.3</v>
      </c>
      <c r="H10" s="228">
        <f t="shared" si="3"/>
        <v>1.0181106216348506</v>
      </c>
      <c r="I10" s="228">
        <f t="shared" si="4"/>
        <v>1.0455212922173274</v>
      </c>
      <c r="J10" s="229" t="s">
        <v>1321</v>
      </c>
      <c r="K10" s="229" t="s">
        <v>1251</v>
      </c>
      <c r="L10" s="63" t="s">
        <v>53</v>
      </c>
      <c r="M10" s="63">
        <v>-1</v>
      </c>
      <c r="N10" s="41"/>
      <c r="O10" s="41"/>
      <c r="AC10" s="64"/>
      <c r="AD10" s="64"/>
    </row>
    <row r="11" spans="1:37" ht="54.75" customHeight="1" outlineLevel="2" x14ac:dyDescent="0.25">
      <c r="A11" s="236" t="s">
        <v>304</v>
      </c>
      <c r="B11" s="141" t="s">
        <v>306</v>
      </c>
      <c r="C11" s="153" t="s">
        <v>303</v>
      </c>
      <c r="D11" s="226" t="s">
        <v>298</v>
      </c>
      <c r="E11" s="232">
        <v>1.4</v>
      </c>
      <c r="F11" s="232">
        <v>4.0999999999999996</v>
      </c>
      <c r="G11" s="232">
        <v>2</v>
      </c>
      <c r="H11" s="228">
        <f t="shared" si="3"/>
        <v>2.0499999999999998</v>
      </c>
      <c r="I11" s="228">
        <f t="shared" si="4"/>
        <v>0.7</v>
      </c>
      <c r="J11" s="229" t="s">
        <v>1321</v>
      </c>
      <c r="K11" s="229" t="s">
        <v>1251</v>
      </c>
      <c r="L11" s="63" t="s">
        <v>53</v>
      </c>
      <c r="M11" s="63">
        <v>-1</v>
      </c>
      <c r="N11" s="41"/>
      <c r="O11" s="41"/>
      <c r="AC11" s="64"/>
      <c r="AD11" s="64"/>
    </row>
    <row r="12" spans="1:37" ht="63.75" customHeight="1" outlineLevel="2" x14ac:dyDescent="0.25">
      <c r="A12" s="236" t="s">
        <v>305</v>
      </c>
      <c r="B12" s="141" t="s">
        <v>309</v>
      </c>
      <c r="C12" s="153" t="s">
        <v>303</v>
      </c>
      <c r="D12" s="226" t="s">
        <v>298</v>
      </c>
      <c r="E12" s="232">
        <v>737.8</v>
      </c>
      <c r="F12" s="232">
        <v>655.5</v>
      </c>
      <c r="G12" s="232">
        <v>655.5</v>
      </c>
      <c r="H12" s="228">
        <f t="shared" si="3"/>
        <v>1</v>
      </c>
      <c r="I12" s="228">
        <f t="shared" si="4"/>
        <v>1.1255530129672005</v>
      </c>
      <c r="J12" s="229" t="s">
        <v>1881</v>
      </c>
      <c r="K12" s="229" t="s">
        <v>1251</v>
      </c>
      <c r="L12" s="63" t="s">
        <v>53</v>
      </c>
      <c r="M12" s="63">
        <v>-1</v>
      </c>
      <c r="N12" s="41"/>
      <c r="O12" s="41"/>
      <c r="AC12" s="64"/>
      <c r="AD12" s="64"/>
    </row>
    <row r="13" spans="1:37" ht="82.5" customHeight="1" outlineLevel="2" x14ac:dyDescent="0.25">
      <c r="A13" s="236" t="s">
        <v>307</v>
      </c>
      <c r="B13" s="141" t="s">
        <v>311</v>
      </c>
      <c r="C13" s="153" t="s">
        <v>1880</v>
      </c>
      <c r="D13" s="184" t="s">
        <v>312</v>
      </c>
      <c r="E13" s="232">
        <v>70.400000000000006</v>
      </c>
      <c r="F13" s="232">
        <v>72.17</v>
      </c>
      <c r="G13" s="232">
        <v>71.05</v>
      </c>
      <c r="H13" s="228">
        <f>G13/F13</f>
        <v>0.98448108632395726</v>
      </c>
      <c r="I13" s="228">
        <f>G13/E13</f>
        <v>1.0092329545454544</v>
      </c>
      <c r="J13" s="229" t="s">
        <v>1882</v>
      </c>
      <c r="K13" s="229" t="s">
        <v>1320</v>
      </c>
      <c r="L13" s="63" t="s">
        <v>53</v>
      </c>
      <c r="M13" s="63">
        <v>1</v>
      </c>
      <c r="N13" s="41"/>
      <c r="O13" s="41"/>
      <c r="AC13" s="64"/>
      <c r="AD13" s="64"/>
    </row>
    <row r="14" spans="1:37" ht="45" outlineLevel="2" x14ac:dyDescent="0.25">
      <c r="A14" s="236" t="s">
        <v>308</v>
      </c>
      <c r="B14" s="141" t="s">
        <v>670</v>
      </c>
      <c r="C14" s="153" t="s">
        <v>313</v>
      </c>
      <c r="D14" s="184" t="s">
        <v>312</v>
      </c>
      <c r="E14" s="232">
        <v>47.36</v>
      </c>
      <c r="F14" s="232">
        <v>46.5</v>
      </c>
      <c r="G14" s="232">
        <v>50.76</v>
      </c>
      <c r="H14" s="228">
        <f t="shared" ref="H14:H15" si="5">G14/F14</f>
        <v>1.0916129032258064</v>
      </c>
      <c r="I14" s="228">
        <f t="shared" ref="I14:I15" si="6">G14/E14</f>
        <v>1.0717905405405406</v>
      </c>
      <c r="J14" s="229" t="s">
        <v>672</v>
      </c>
      <c r="K14" s="229" t="s">
        <v>1251</v>
      </c>
      <c r="L14" s="63" t="s">
        <v>53</v>
      </c>
      <c r="M14" s="63">
        <v>1</v>
      </c>
      <c r="N14" s="41">
        <f t="shared" ref="N14:N15" si="7">IF(H14&gt;1,1,H14)</f>
        <v>1</v>
      </c>
      <c r="O14" s="41">
        <f t="shared" ref="O14:O15" si="8">IF(I14&gt;1.25,1.25,I14)</f>
        <v>1.0717905405405406</v>
      </c>
      <c r="AC14" s="64">
        <f t="shared" ref="AC14:AD80" si="9">H14</f>
        <v>1.0916129032258064</v>
      </c>
      <c r="AD14" s="64">
        <f t="shared" si="9"/>
        <v>1.0717905405405406</v>
      </c>
    </row>
    <row r="15" spans="1:37" ht="112.5" outlineLevel="2" x14ac:dyDescent="0.25">
      <c r="A15" s="236" t="s">
        <v>310</v>
      </c>
      <c r="B15" s="141" t="s">
        <v>671</v>
      </c>
      <c r="C15" s="153" t="s">
        <v>314</v>
      </c>
      <c r="D15" s="184" t="s">
        <v>312</v>
      </c>
      <c r="E15" s="232">
        <v>92.8</v>
      </c>
      <c r="F15" s="232">
        <v>90</v>
      </c>
      <c r="G15" s="232">
        <v>90</v>
      </c>
      <c r="H15" s="228">
        <f t="shared" si="5"/>
        <v>1</v>
      </c>
      <c r="I15" s="228">
        <f t="shared" si="6"/>
        <v>0.96982758620689657</v>
      </c>
      <c r="J15" s="229" t="s">
        <v>41</v>
      </c>
      <c r="K15" s="229" t="s">
        <v>41</v>
      </c>
      <c r="L15" s="63" t="s">
        <v>53</v>
      </c>
      <c r="M15" s="63">
        <v>1</v>
      </c>
      <c r="N15" s="41">
        <f t="shared" si="7"/>
        <v>1</v>
      </c>
      <c r="O15" s="41">
        <f t="shared" si="8"/>
        <v>0.96982758620689657</v>
      </c>
      <c r="AC15" s="64">
        <f t="shared" si="9"/>
        <v>1</v>
      </c>
      <c r="AD15" s="64">
        <f t="shared" si="9"/>
        <v>0.96982758620689657</v>
      </c>
    </row>
    <row r="16" spans="1:37" s="45" customFormat="1" ht="21.75" customHeight="1" outlineLevel="1" x14ac:dyDescent="0.25">
      <c r="A16" s="65" t="s">
        <v>46</v>
      </c>
      <c r="B16" s="619" t="s">
        <v>54</v>
      </c>
      <c r="C16" s="619"/>
      <c r="D16" s="619"/>
      <c r="E16" s="619"/>
      <c r="F16" s="619"/>
      <c r="G16" s="619"/>
      <c r="H16" s="66">
        <f>AVERAGE(N17:N31)</f>
        <v>0.98056680161943321</v>
      </c>
      <c r="I16" s="66">
        <f>AVERAGE(O17:O31)</f>
        <v>1.0310541862976477</v>
      </c>
      <c r="J16" s="67"/>
      <c r="K16" s="67"/>
      <c r="L16" s="68"/>
      <c r="M16" s="61"/>
      <c r="N16" s="49"/>
      <c r="O16" s="49"/>
      <c r="P16" s="47"/>
      <c r="Q16" s="47"/>
      <c r="R16" s="98">
        <f>COUNTA(C17:C31)</f>
        <v>15</v>
      </c>
      <c r="S16" s="97">
        <v>0</v>
      </c>
      <c r="T16" s="98">
        <f>COUNTIFS(AC17:AC31,"&gt;1,50")</f>
        <v>1</v>
      </c>
      <c r="U16" s="98">
        <f>COUNTIFS(AC17:AC31,"&gt;=0,995",AC17:AC31,"&lt;=1,5")</f>
        <v>13</v>
      </c>
      <c r="V16" s="98">
        <f>COUNTIFS(AC17:AC31,"&gt;=0,85",AC17:AC31,"&lt;0,995")</f>
        <v>0</v>
      </c>
      <c r="W16" s="98">
        <f>COUNTIFS(AC17:AC31,"&lt;0,85")</f>
        <v>1</v>
      </c>
      <c r="X16" s="50">
        <v>0</v>
      </c>
      <c r="Z16" s="90">
        <f>COUNTIFS(AD17:AD31,"&gt;=1,01")</f>
        <v>4</v>
      </c>
      <c r="AA16" s="90">
        <f>COUNTIFS(AD17:AD31,"&gt;=0,99",AD17:AD31,"&lt;1,01")</f>
        <v>1</v>
      </c>
      <c r="AB16" s="91">
        <f>COUNTIFS(AD17:AD31,"&lt;0,99")</f>
        <v>3</v>
      </c>
      <c r="AC16" s="64"/>
      <c r="AD16" s="64"/>
      <c r="AK16" s="45">
        <f>SUM(T16:X16)-R16</f>
        <v>0</v>
      </c>
    </row>
    <row r="17" spans="1:37" ht="45" outlineLevel="2" x14ac:dyDescent="0.25">
      <c r="A17" s="236" t="s">
        <v>55</v>
      </c>
      <c r="B17" s="141" t="s">
        <v>315</v>
      </c>
      <c r="C17" s="153" t="s">
        <v>316</v>
      </c>
      <c r="D17" s="226" t="s">
        <v>298</v>
      </c>
      <c r="E17" s="232">
        <v>10.914</v>
      </c>
      <c r="F17" s="232">
        <v>10.62</v>
      </c>
      <c r="G17" s="232">
        <v>10.62</v>
      </c>
      <c r="H17" s="233">
        <f>F17/G17</f>
        <v>1</v>
      </c>
      <c r="I17" s="233">
        <f>E17/G17</f>
        <v>1.0276836158192091</v>
      </c>
      <c r="J17" s="229" t="s">
        <v>1251</v>
      </c>
      <c r="K17" s="229" t="s">
        <v>1322</v>
      </c>
      <c r="L17" s="63" t="s">
        <v>53</v>
      </c>
      <c r="M17" s="40">
        <v>-1</v>
      </c>
      <c r="N17" s="41">
        <f t="shared" ref="N17" si="10">IF(H17&gt;1,1,H17)</f>
        <v>1</v>
      </c>
      <c r="O17" s="41">
        <f>IF(I17&gt;1.25,1.25,I17)</f>
        <v>1.0276836158192091</v>
      </c>
      <c r="AC17" s="64">
        <f t="shared" ref="AC17" si="11">H17</f>
        <v>1</v>
      </c>
      <c r="AD17" s="64">
        <f t="shared" ref="AD17" si="12">I17</f>
        <v>1.0276836158192091</v>
      </c>
    </row>
    <row r="18" spans="1:37" ht="25.5" customHeight="1" outlineLevel="2" x14ac:dyDescent="0.25">
      <c r="A18" s="236" t="s">
        <v>1883</v>
      </c>
      <c r="B18" s="141" t="s">
        <v>673</v>
      </c>
      <c r="C18" s="153" t="s">
        <v>314</v>
      </c>
      <c r="D18" s="184" t="s">
        <v>312</v>
      </c>
      <c r="E18" s="232">
        <v>96</v>
      </c>
      <c r="F18" s="232">
        <v>98.04</v>
      </c>
      <c r="G18" s="232">
        <v>98.04</v>
      </c>
      <c r="H18" s="235">
        <f>G18/F18</f>
        <v>1</v>
      </c>
      <c r="I18" s="235">
        <f>G18/E18</f>
        <v>1.02125</v>
      </c>
      <c r="J18" s="229" t="s">
        <v>1251</v>
      </c>
      <c r="K18" s="229" t="s">
        <v>1323</v>
      </c>
      <c r="L18" s="63" t="s">
        <v>53</v>
      </c>
      <c r="M18" s="40">
        <v>1</v>
      </c>
      <c r="N18" s="41">
        <f t="shared" ref="N18:N25" si="13">IF(H18&gt;1,1,H18)</f>
        <v>1</v>
      </c>
      <c r="O18" s="41">
        <f>IF(I18&gt;1.25,1.25,I18)</f>
        <v>1.02125</v>
      </c>
      <c r="AC18" s="64">
        <f t="shared" si="9"/>
        <v>1</v>
      </c>
      <c r="AD18" s="64">
        <f t="shared" si="9"/>
        <v>1.02125</v>
      </c>
    </row>
    <row r="19" spans="1:37" ht="22.5" outlineLevel="2" x14ac:dyDescent="0.25">
      <c r="A19" s="236" t="s">
        <v>56</v>
      </c>
      <c r="B19" s="141" t="s">
        <v>317</v>
      </c>
      <c r="C19" s="153" t="s">
        <v>314</v>
      </c>
      <c r="D19" s="184" t="s">
        <v>312</v>
      </c>
      <c r="E19" s="232">
        <v>76</v>
      </c>
      <c r="F19" s="232">
        <v>72.39</v>
      </c>
      <c r="G19" s="232">
        <v>72.39</v>
      </c>
      <c r="H19" s="235">
        <f t="shared" ref="H19:H24" si="14">G19/F19</f>
        <v>1</v>
      </c>
      <c r="I19" s="235">
        <f t="shared" ref="I19:I24" si="15">G19/E19</f>
        <v>0.95250000000000001</v>
      </c>
      <c r="J19" s="229" t="s">
        <v>1251</v>
      </c>
      <c r="K19" s="229" t="s">
        <v>41</v>
      </c>
      <c r="L19" s="63" t="s">
        <v>53</v>
      </c>
      <c r="M19" s="40">
        <v>1</v>
      </c>
      <c r="N19" s="41">
        <f t="shared" si="13"/>
        <v>1</v>
      </c>
      <c r="O19" s="41">
        <f>IF(I19&gt;1.25,1.25,I19)</f>
        <v>0.95250000000000001</v>
      </c>
      <c r="AC19" s="64">
        <f t="shared" si="9"/>
        <v>1</v>
      </c>
      <c r="AD19" s="64">
        <f t="shared" si="9"/>
        <v>0.95250000000000001</v>
      </c>
    </row>
    <row r="20" spans="1:37" ht="45" outlineLevel="2" x14ac:dyDescent="0.25">
      <c r="A20" s="236" t="s">
        <v>57</v>
      </c>
      <c r="B20" s="141" t="s">
        <v>674</v>
      </c>
      <c r="C20" s="153" t="s">
        <v>314</v>
      </c>
      <c r="D20" s="184" t="s">
        <v>312</v>
      </c>
      <c r="E20" s="232">
        <v>96.87</v>
      </c>
      <c r="F20" s="232">
        <v>95.05</v>
      </c>
      <c r="G20" s="232">
        <v>95.05</v>
      </c>
      <c r="H20" s="235">
        <f t="shared" si="14"/>
        <v>1</v>
      </c>
      <c r="I20" s="235">
        <f t="shared" si="15"/>
        <v>0.98121193351914926</v>
      </c>
      <c r="J20" s="229" t="s">
        <v>1251</v>
      </c>
      <c r="K20" s="229" t="s">
        <v>41</v>
      </c>
      <c r="L20" s="63" t="s">
        <v>53</v>
      </c>
      <c r="M20" s="40">
        <v>1</v>
      </c>
      <c r="N20" s="41">
        <f>IF(H20&gt;1,1,H20)</f>
        <v>1</v>
      </c>
      <c r="O20" s="41">
        <f>IF(I20&gt;1.25,1.25,I20)</f>
        <v>0.98121193351914926</v>
      </c>
      <c r="AC20" s="64">
        <f t="shared" si="9"/>
        <v>1</v>
      </c>
      <c r="AD20" s="64">
        <f t="shared" si="9"/>
        <v>0.98121193351914926</v>
      </c>
    </row>
    <row r="21" spans="1:37" ht="48.75" customHeight="1" outlineLevel="2" x14ac:dyDescent="0.25">
      <c r="A21" s="236" t="s">
        <v>58</v>
      </c>
      <c r="B21" s="141" t="s">
        <v>675</v>
      </c>
      <c r="C21" s="153" t="s">
        <v>314</v>
      </c>
      <c r="D21" s="184" t="s">
        <v>312</v>
      </c>
      <c r="E21" s="232">
        <v>96.45</v>
      </c>
      <c r="F21" s="232">
        <v>97.04</v>
      </c>
      <c r="G21" s="232">
        <v>97.04</v>
      </c>
      <c r="H21" s="235">
        <f t="shared" si="14"/>
        <v>1</v>
      </c>
      <c r="I21" s="235">
        <f t="shared" si="15"/>
        <v>1.0061171591498186</v>
      </c>
      <c r="J21" s="229" t="s">
        <v>1251</v>
      </c>
      <c r="K21" s="229" t="s">
        <v>1324</v>
      </c>
      <c r="L21" s="63" t="s">
        <v>53</v>
      </c>
      <c r="M21" s="40">
        <v>1</v>
      </c>
      <c r="N21" s="41">
        <f t="shared" si="13"/>
        <v>1</v>
      </c>
      <c r="O21" s="41">
        <f t="shared" ref="O21:O24" si="16">IF(I21&gt;1.25,1.25,I21)</f>
        <v>1.0061171591498186</v>
      </c>
      <c r="AC21" s="64">
        <f t="shared" si="9"/>
        <v>1</v>
      </c>
      <c r="AD21" s="64">
        <f t="shared" si="9"/>
        <v>1.0061171591498186</v>
      </c>
    </row>
    <row r="22" spans="1:37" ht="29.25" customHeight="1" outlineLevel="2" x14ac:dyDescent="0.25">
      <c r="A22" s="236" t="s">
        <v>59</v>
      </c>
      <c r="B22" s="141" t="s">
        <v>318</v>
      </c>
      <c r="C22" s="153" t="s">
        <v>314</v>
      </c>
      <c r="D22" s="184" t="s">
        <v>312</v>
      </c>
      <c r="E22" s="232">
        <v>97.2</v>
      </c>
      <c r="F22" s="232">
        <v>95.54</v>
      </c>
      <c r="G22" s="232">
        <v>95.54</v>
      </c>
      <c r="H22" s="235">
        <f t="shared" si="14"/>
        <v>1</v>
      </c>
      <c r="I22" s="235">
        <f t="shared" si="15"/>
        <v>0.98292181069958851</v>
      </c>
      <c r="J22" s="229" t="s">
        <v>1251</v>
      </c>
      <c r="K22" s="229" t="s">
        <v>41</v>
      </c>
      <c r="L22" s="63" t="s">
        <v>53</v>
      </c>
      <c r="M22" s="40">
        <v>1</v>
      </c>
      <c r="N22" s="41">
        <f t="shared" si="13"/>
        <v>1</v>
      </c>
      <c r="O22" s="41">
        <f t="shared" si="16"/>
        <v>0.98292181069958851</v>
      </c>
      <c r="AC22" s="64">
        <f t="shared" si="9"/>
        <v>1</v>
      </c>
      <c r="AD22" s="64">
        <f t="shared" si="9"/>
        <v>0.98292181069958851</v>
      </c>
    </row>
    <row r="23" spans="1:37" ht="22.5" outlineLevel="2" x14ac:dyDescent="0.25">
      <c r="A23" s="236" t="s">
        <v>60</v>
      </c>
      <c r="B23" s="141" t="s">
        <v>62</v>
      </c>
      <c r="C23" s="153" t="s">
        <v>314</v>
      </c>
      <c r="D23" s="184" t="s">
        <v>312</v>
      </c>
      <c r="E23" s="232">
        <v>97.2</v>
      </c>
      <c r="F23" s="232">
        <v>99.8</v>
      </c>
      <c r="G23" s="232">
        <v>99.8</v>
      </c>
      <c r="H23" s="235">
        <f t="shared" si="14"/>
        <v>1</v>
      </c>
      <c r="I23" s="235">
        <f t="shared" si="15"/>
        <v>1.0267489711934157</v>
      </c>
      <c r="J23" s="229" t="s">
        <v>1251</v>
      </c>
      <c r="K23" s="229" t="s">
        <v>41</v>
      </c>
      <c r="L23" s="63" t="s">
        <v>53</v>
      </c>
      <c r="M23" s="40">
        <v>1</v>
      </c>
      <c r="N23" s="41">
        <f t="shared" si="13"/>
        <v>1</v>
      </c>
      <c r="O23" s="41">
        <f t="shared" si="16"/>
        <v>1.0267489711934157</v>
      </c>
      <c r="AB23" s="93">
        <v>1</v>
      </c>
      <c r="AC23" s="64">
        <f t="shared" si="9"/>
        <v>1</v>
      </c>
      <c r="AD23" s="64">
        <f t="shared" si="9"/>
        <v>1.0267489711934157</v>
      </c>
    </row>
    <row r="24" spans="1:37" ht="33.75" outlineLevel="2" x14ac:dyDescent="0.25">
      <c r="A24" s="236" t="s">
        <v>61</v>
      </c>
      <c r="B24" s="141" t="s">
        <v>676</v>
      </c>
      <c r="C24" s="153" t="s">
        <v>320</v>
      </c>
      <c r="D24" s="184" t="s">
        <v>312</v>
      </c>
      <c r="E24" s="232">
        <v>266</v>
      </c>
      <c r="F24" s="232">
        <v>245</v>
      </c>
      <c r="G24" s="232">
        <v>344</v>
      </c>
      <c r="H24" s="235">
        <f t="shared" si="14"/>
        <v>1.4040816326530612</v>
      </c>
      <c r="I24" s="235">
        <f t="shared" si="15"/>
        <v>1.2932330827067668</v>
      </c>
      <c r="J24" s="229" t="s">
        <v>1897</v>
      </c>
      <c r="K24" s="229" t="s">
        <v>1898</v>
      </c>
      <c r="L24" s="63" t="s">
        <v>53</v>
      </c>
      <c r="M24" s="40">
        <v>1</v>
      </c>
      <c r="N24" s="41">
        <f t="shared" si="13"/>
        <v>1</v>
      </c>
      <c r="O24" s="41">
        <f t="shared" si="16"/>
        <v>1.25</v>
      </c>
      <c r="AC24" s="64">
        <f t="shared" si="9"/>
        <v>1.4040816326530612</v>
      </c>
      <c r="AD24" s="64">
        <f t="shared" si="9"/>
        <v>1.2932330827067668</v>
      </c>
    </row>
    <row r="25" spans="1:37" ht="45" outlineLevel="2" x14ac:dyDescent="0.25">
      <c r="A25" s="236" t="s">
        <v>319</v>
      </c>
      <c r="B25" s="141" t="s">
        <v>1885</v>
      </c>
      <c r="C25" s="153" t="s">
        <v>314</v>
      </c>
      <c r="D25" s="226" t="s">
        <v>298</v>
      </c>
      <c r="E25" s="232" t="s">
        <v>1251</v>
      </c>
      <c r="F25" s="232">
        <v>100</v>
      </c>
      <c r="G25" s="232">
        <v>41</v>
      </c>
      <c r="H25" s="233">
        <f>F25/G25</f>
        <v>2.4390243902439024</v>
      </c>
      <c r="I25" s="233" t="s">
        <v>41</v>
      </c>
      <c r="J25" s="229" t="s">
        <v>1899</v>
      </c>
      <c r="K25" s="229" t="s">
        <v>1251</v>
      </c>
      <c r="L25" s="63" t="s">
        <v>53</v>
      </c>
      <c r="M25" s="40">
        <v>-1</v>
      </c>
      <c r="N25" s="41">
        <f t="shared" si="13"/>
        <v>1</v>
      </c>
      <c r="O25" s="41" t="s">
        <v>41</v>
      </c>
      <c r="AC25" s="64">
        <f t="shared" si="9"/>
        <v>2.4390243902439024</v>
      </c>
      <c r="AD25" s="440"/>
    </row>
    <row r="26" spans="1:37" ht="67.5" outlineLevel="2" x14ac:dyDescent="0.25">
      <c r="A26" s="236" t="s">
        <v>1884</v>
      </c>
      <c r="B26" s="141" t="s">
        <v>1886</v>
      </c>
      <c r="C26" s="153" t="s">
        <v>314</v>
      </c>
      <c r="D26" s="226" t="s">
        <v>298</v>
      </c>
      <c r="E26" s="232" t="s">
        <v>1251</v>
      </c>
      <c r="F26" s="232">
        <v>1.37</v>
      </c>
      <c r="G26" s="232">
        <v>1</v>
      </c>
      <c r="H26" s="233">
        <f>F26/G26</f>
        <v>1.37</v>
      </c>
      <c r="I26" s="233" t="s">
        <v>41</v>
      </c>
      <c r="J26" s="229" t="s">
        <v>1900</v>
      </c>
      <c r="K26" s="229" t="s">
        <v>1251</v>
      </c>
      <c r="L26" s="63" t="s">
        <v>53</v>
      </c>
      <c r="M26" s="40">
        <v>-1</v>
      </c>
      <c r="N26" s="41">
        <f t="shared" ref="N26:N31" si="17">IF(H26&gt;1,1,H26)</f>
        <v>1</v>
      </c>
      <c r="O26" s="41" t="s">
        <v>41</v>
      </c>
      <c r="AC26" s="64">
        <f t="shared" si="9"/>
        <v>1.37</v>
      </c>
      <c r="AD26" s="440"/>
    </row>
    <row r="27" spans="1:37" ht="112.5" outlineLevel="2" x14ac:dyDescent="0.25">
      <c r="A27" s="236" t="s">
        <v>1887</v>
      </c>
      <c r="B27" s="141" t="s">
        <v>1890</v>
      </c>
      <c r="C27" s="153" t="s">
        <v>314</v>
      </c>
      <c r="D27" s="184" t="s">
        <v>312</v>
      </c>
      <c r="E27" s="232" t="s">
        <v>1251</v>
      </c>
      <c r="F27" s="232">
        <v>49.4</v>
      </c>
      <c r="G27" s="232">
        <v>35</v>
      </c>
      <c r="H27" s="235">
        <f t="shared" ref="H27:H31" si="18">G27/F27</f>
        <v>0.708502024291498</v>
      </c>
      <c r="I27" s="235" t="s">
        <v>41</v>
      </c>
      <c r="J27" s="229" t="s">
        <v>1901</v>
      </c>
      <c r="K27" s="229" t="s">
        <v>1902</v>
      </c>
      <c r="L27" s="63" t="s">
        <v>53</v>
      </c>
      <c r="M27" s="40">
        <v>1</v>
      </c>
      <c r="N27" s="41">
        <f t="shared" si="17"/>
        <v>0.708502024291498</v>
      </c>
      <c r="O27" s="41" t="s">
        <v>41</v>
      </c>
      <c r="AC27" s="64">
        <f t="shared" si="9"/>
        <v>0.708502024291498</v>
      </c>
      <c r="AD27" s="440"/>
    </row>
    <row r="28" spans="1:37" ht="78.75" outlineLevel="2" x14ac:dyDescent="0.25">
      <c r="A28" s="236" t="s">
        <v>1888</v>
      </c>
      <c r="B28" s="141" t="s">
        <v>1891</v>
      </c>
      <c r="C28" s="153" t="s">
        <v>314</v>
      </c>
      <c r="D28" s="184" t="s">
        <v>312</v>
      </c>
      <c r="E28" s="232" t="s">
        <v>1251</v>
      </c>
      <c r="F28" s="232">
        <v>25.3</v>
      </c>
      <c r="G28" s="232">
        <v>33</v>
      </c>
      <c r="H28" s="235">
        <f t="shared" si="18"/>
        <v>1.3043478260869565</v>
      </c>
      <c r="I28" s="235" t="s">
        <v>41</v>
      </c>
      <c r="J28" s="229" t="s">
        <v>1903</v>
      </c>
      <c r="K28" s="229" t="s">
        <v>1251</v>
      </c>
      <c r="L28" s="63" t="s">
        <v>53</v>
      </c>
      <c r="M28" s="40">
        <v>1</v>
      </c>
      <c r="N28" s="41">
        <f t="shared" si="17"/>
        <v>1</v>
      </c>
      <c r="O28" s="41" t="s">
        <v>41</v>
      </c>
      <c r="AC28" s="64">
        <f t="shared" si="9"/>
        <v>1.3043478260869565</v>
      </c>
      <c r="AD28" s="440"/>
    </row>
    <row r="29" spans="1:37" ht="45" outlineLevel="2" x14ac:dyDescent="0.25">
      <c r="A29" s="236" t="s">
        <v>1889</v>
      </c>
      <c r="B29" s="141" t="s">
        <v>1892</v>
      </c>
      <c r="C29" s="153" t="s">
        <v>314</v>
      </c>
      <c r="D29" s="184" t="s">
        <v>312</v>
      </c>
      <c r="E29" s="232" t="s">
        <v>1251</v>
      </c>
      <c r="F29" s="232">
        <v>14.8</v>
      </c>
      <c r="G29" s="232">
        <v>15.8</v>
      </c>
      <c r="H29" s="235">
        <f t="shared" si="18"/>
        <v>1.0675675675675675</v>
      </c>
      <c r="I29" s="235" t="s">
        <v>41</v>
      </c>
      <c r="J29" s="229" t="s">
        <v>1904</v>
      </c>
      <c r="K29" s="229" t="s">
        <v>1251</v>
      </c>
      <c r="L29" s="63" t="s">
        <v>53</v>
      </c>
      <c r="M29" s="40">
        <v>1</v>
      </c>
      <c r="N29" s="41">
        <f t="shared" si="17"/>
        <v>1</v>
      </c>
      <c r="O29" s="41" t="s">
        <v>41</v>
      </c>
      <c r="AC29" s="64">
        <f t="shared" si="9"/>
        <v>1.0675675675675675</v>
      </c>
      <c r="AD29" s="440"/>
    </row>
    <row r="30" spans="1:37" ht="45" outlineLevel="2" x14ac:dyDescent="0.25">
      <c r="A30" s="236" t="s">
        <v>1893</v>
      </c>
      <c r="B30" s="141" t="s">
        <v>1895</v>
      </c>
      <c r="C30" s="153" t="s">
        <v>314</v>
      </c>
      <c r="D30" s="238" t="s">
        <v>331</v>
      </c>
      <c r="E30" s="232" t="s">
        <v>1251</v>
      </c>
      <c r="F30" s="232">
        <v>62.1</v>
      </c>
      <c r="G30" s="232">
        <v>86</v>
      </c>
      <c r="H30" s="235">
        <f t="shared" si="18"/>
        <v>1.3848631239935587</v>
      </c>
      <c r="I30" s="235" t="s">
        <v>41</v>
      </c>
      <c r="J30" s="229" t="s">
        <v>1905</v>
      </c>
      <c r="K30" s="229"/>
      <c r="L30" s="63" t="s">
        <v>53</v>
      </c>
      <c r="M30" s="40">
        <v>0</v>
      </c>
      <c r="N30" s="41">
        <f t="shared" si="17"/>
        <v>1</v>
      </c>
      <c r="O30" s="41" t="s">
        <v>41</v>
      </c>
      <c r="AC30" s="64">
        <f t="shared" si="9"/>
        <v>1.3848631239935587</v>
      </c>
      <c r="AD30" s="440"/>
    </row>
    <row r="31" spans="1:37" ht="45" outlineLevel="2" x14ac:dyDescent="0.25">
      <c r="A31" s="236" t="s">
        <v>1894</v>
      </c>
      <c r="B31" s="141" t="s">
        <v>1896</v>
      </c>
      <c r="C31" s="153" t="s">
        <v>314</v>
      </c>
      <c r="D31" s="238" t="s">
        <v>331</v>
      </c>
      <c r="E31" s="232" t="s">
        <v>41</v>
      </c>
      <c r="F31" s="232">
        <v>95</v>
      </c>
      <c r="G31" s="232">
        <v>95</v>
      </c>
      <c r="H31" s="235">
        <f t="shared" si="18"/>
        <v>1</v>
      </c>
      <c r="I31" s="235" t="s">
        <v>41</v>
      </c>
      <c r="J31" s="229" t="s">
        <v>1251</v>
      </c>
      <c r="K31" s="229" t="s">
        <v>1251</v>
      </c>
      <c r="L31" s="63" t="s">
        <v>53</v>
      </c>
      <c r="M31" s="40">
        <v>0</v>
      </c>
      <c r="N31" s="41">
        <f t="shared" si="17"/>
        <v>1</v>
      </c>
      <c r="O31" s="41" t="s">
        <v>41</v>
      </c>
      <c r="AC31" s="64">
        <f t="shared" si="9"/>
        <v>1</v>
      </c>
      <c r="AD31" s="440"/>
    </row>
    <row r="32" spans="1:37" s="45" customFormat="1" ht="42" customHeight="1" outlineLevel="1" x14ac:dyDescent="0.25">
      <c r="A32" s="65" t="s">
        <v>47</v>
      </c>
      <c r="B32" s="619" t="s">
        <v>677</v>
      </c>
      <c r="C32" s="619"/>
      <c r="D32" s="619"/>
      <c r="E32" s="619"/>
      <c r="F32" s="619"/>
      <c r="G32" s="619"/>
      <c r="H32" s="66">
        <f>AVERAGE(N33:N42)</f>
        <v>1</v>
      </c>
      <c r="I32" s="66">
        <f>AVERAGE(O33:O42)</f>
        <v>1.0304349475871697</v>
      </c>
      <c r="J32" s="67"/>
      <c r="K32" s="67"/>
      <c r="L32" s="68"/>
      <c r="M32" s="61"/>
      <c r="N32" s="49"/>
      <c r="O32" s="49"/>
      <c r="P32" s="47"/>
      <c r="Q32" s="47"/>
      <c r="R32" s="98">
        <f>COUNTA(C33:C42)</f>
        <v>10</v>
      </c>
      <c r="S32" s="97">
        <v>0</v>
      </c>
      <c r="T32" s="98">
        <f>COUNTIFS(AC33:AC42,"&gt;1,50")</f>
        <v>0</v>
      </c>
      <c r="U32" s="98">
        <f>COUNTIFS(AC33:AC42,"&gt;=0,995",AC33:AC42,"&lt;=1,5")</f>
        <v>10</v>
      </c>
      <c r="V32" s="98">
        <f>COUNTIFS(AC33:AC42,"&gt;=0,85",AC33:AC42,"&lt;0,995")</f>
        <v>0</v>
      </c>
      <c r="W32" s="98">
        <f>COUNTIFS(AC33:AC42,"&lt;0,85")</f>
        <v>0</v>
      </c>
      <c r="X32" s="50"/>
      <c r="Z32" s="90">
        <f>COUNTIFS(AD33:AD42,"&gt;=1,01")</f>
        <v>5</v>
      </c>
      <c r="AA32" s="90">
        <f>COUNTIFS(AD33:AD42,"&gt;=0,99",AD33:AD42,"&lt;1,01")</f>
        <v>4</v>
      </c>
      <c r="AB32" s="91">
        <f>COUNTIFS(AD33:AD55,"&lt;0,99")</f>
        <v>1</v>
      </c>
      <c r="AC32" s="64"/>
      <c r="AD32" s="64"/>
      <c r="AK32" s="45">
        <f>SUM(T32:X32)-R32</f>
        <v>0</v>
      </c>
    </row>
    <row r="33" spans="1:37" ht="33.75" outlineLevel="2" x14ac:dyDescent="0.25">
      <c r="A33" s="236" t="s">
        <v>64</v>
      </c>
      <c r="B33" s="141" t="s">
        <v>678</v>
      </c>
      <c r="C33" s="229" t="s">
        <v>314</v>
      </c>
      <c r="D33" s="226" t="s">
        <v>298</v>
      </c>
      <c r="E33" s="232">
        <v>12.6</v>
      </c>
      <c r="F33" s="232">
        <v>11.5</v>
      </c>
      <c r="G33" s="232">
        <v>11.4</v>
      </c>
      <c r="H33" s="235">
        <f>F33/G33</f>
        <v>1.0087719298245614</v>
      </c>
      <c r="I33" s="233">
        <f>E33/G33</f>
        <v>1.1052631578947367</v>
      </c>
      <c r="J33" s="229" t="s">
        <v>1908</v>
      </c>
      <c r="K33" s="229" t="s">
        <v>1251</v>
      </c>
      <c r="L33" s="63" t="s">
        <v>53</v>
      </c>
      <c r="M33" s="40">
        <v>-1</v>
      </c>
      <c r="N33" s="41">
        <f t="shared" ref="N33:N42" si="19">IF(H33&gt;1,1,H33)</f>
        <v>1</v>
      </c>
      <c r="O33" s="41">
        <f t="shared" ref="O33:O42" si="20">IF(I33&gt;1.25,1.25,I33)</f>
        <v>1.1052631578947367</v>
      </c>
      <c r="AC33" s="64">
        <f t="shared" si="9"/>
        <v>1.0087719298245614</v>
      </c>
      <c r="AD33" s="64">
        <f t="shared" si="9"/>
        <v>1.1052631578947367</v>
      </c>
    </row>
    <row r="34" spans="1:37" ht="56.25" outlineLevel="2" x14ac:dyDescent="0.25">
      <c r="A34" s="236" t="s">
        <v>65</v>
      </c>
      <c r="B34" s="141" t="s">
        <v>332</v>
      </c>
      <c r="C34" s="229" t="s">
        <v>314</v>
      </c>
      <c r="D34" s="226" t="s">
        <v>298</v>
      </c>
      <c r="E34" s="232">
        <v>17.7</v>
      </c>
      <c r="F34" s="232">
        <v>18.100000000000001</v>
      </c>
      <c r="G34" s="232">
        <v>17</v>
      </c>
      <c r="H34" s="235">
        <f>F34/G34</f>
        <v>1.0647058823529412</v>
      </c>
      <c r="I34" s="233">
        <f>E34/G34</f>
        <v>1.0411764705882351</v>
      </c>
      <c r="J34" s="229" t="s">
        <v>1909</v>
      </c>
      <c r="K34" s="229" t="s">
        <v>1251</v>
      </c>
      <c r="L34" s="63" t="s">
        <v>53</v>
      </c>
      <c r="M34" s="40">
        <v>-1</v>
      </c>
      <c r="N34" s="41">
        <f t="shared" si="19"/>
        <v>1</v>
      </c>
      <c r="O34" s="41">
        <f t="shared" si="20"/>
        <v>1.0411764705882351</v>
      </c>
      <c r="AC34" s="64">
        <f t="shared" si="9"/>
        <v>1.0647058823529412</v>
      </c>
      <c r="AD34" s="64">
        <f t="shared" si="9"/>
        <v>1.0411764705882351</v>
      </c>
      <c r="AE34" s="59">
        <v>1</v>
      </c>
    </row>
    <row r="35" spans="1:37" ht="33.75" outlineLevel="2" x14ac:dyDescent="0.25">
      <c r="A35" s="236" t="s">
        <v>66</v>
      </c>
      <c r="B35" s="237" t="s">
        <v>333</v>
      </c>
      <c r="C35" s="450" t="s">
        <v>1811</v>
      </c>
      <c r="D35" s="184" t="s">
        <v>312</v>
      </c>
      <c r="E35" s="232">
        <v>2.3929999999999998</v>
      </c>
      <c r="F35" s="232">
        <v>1.9239999999999999</v>
      </c>
      <c r="G35" s="232">
        <v>2.16</v>
      </c>
      <c r="H35" s="233">
        <f>G35/F35</f>
        <v>1.1226611226611227</v>
      </c>
      <c r="I35" s="233">
        <f>G35/E35</f>
        <v>0.90263267864605112</v>
      </c>
      <c r="J35" s="229" t="s">
        <v>1910</v>
      </c>
      <c r="K35" s="229" t="s">
        <v>41</v>
      </c>
      <c r="L35" s="63" t="s">
        <v>53</v>
      </c>
      <c r="M35" s="40">
        <v>1</v>
      </c>
      <c r="N35" s="41">
        <f t="shared" si="19"/>
        <v>1</v>
      </c>
      <c r="O35" s="41">
        <f t="shared" si="20"/>
        <v>0.90263267864605112</v>
      </c>
      <c r="AC35" s="64">
        <f t="shared" si="9"/>
        <v>1.1226611226611227</v>
      </c>
      <c r="AD35" s="64">
        <f t="shared" si="9"/>
        <v>0.90263267864605112</v>
      </c>
    </row>
    <row r="36" spans="1:37" ht="45" outlineLevel="2" x14ac:dyDescent="0.25">
      <c r="A36" s="236" t="s">
        <v>67</v>
      </c>
      <c r="B36" s="141" t="s">
        <v>1906</v>
      </c>
      <c r="C36" s="229" t="s">
        <v>314</v>
      </c>
      <c r="D36" s="184" t="s">
        <v>312</v>
      </c>
      <c r="E36" s="232">
        <v>60.42</v>
      </c>
      <c r="F36" s="232">
        <v>59.7</v>
      </c>
      <c r="G36" s="232">
        <v>61.35</v>
      </c>
      <c r="H36" s="233">
        <f>G36/F36</f>
        <v>1.0276381909547738</v>
      </c>
      <c r="I36" s="233">
        <f>G36/E36</f>
        <v>1.0153922542204568</v>
      </c>
      <c r="J36" s="229" t="s">
        <v>1911</v>
      </c>
      <c r="K36" s="229" t="s">
        <v>1251</v>
      </c>
      <c r="L36" s="63" t="s">
        <v>53</v>
      </c>
      <c r="M36" s="40">
        <v>1</v>
      </c>
      <c r="N36" s="41">
        <f t="shared" si="19"/>
        <v>1</v>
      </c>
      <c r="O36" s="41">
        <f t="shared" si="20"/>
        <v>1.0153922542204568</v>
      </c>
      <c r="AC36" s="64">
        <f t="shared" si="9"/>
        <v>1.0276381909547738</v>
      </c>
      <c r="AD36" s="64">
        <f t="shared" si="9"/>
        <v>1.0153922542204568</v>
      </c>
    </row>
    <row r="37" spans="1:37" ht="108.75" customHeight="1" outlineLevel="2" x14ac:dyDescent="0.25">
      <c r="A37" s="236" t="s">
        <v>323</v>
      </c>
      <c r="B37" s="141" t="s">
        <v>321</v>
      </c>
      <c r="C37" s="229" t="s">
        <v>314</v>
      </c>
      <c r="D37" s="226" t="s">
        <v>298</v>
      </c>
      <c r="E37" s="232">
        <v>20.05</v>
      </c>
      <c r="F37" s="232">
        <v>17.3</v>
      </c>
      <c r="G37" s="232">
        <v>17.11</v>
      </c>
      <c r="H37" s="233">
        <f>F37/G37</f>
        <v>1.0111046171829341</v>
      </c>
      <c r="I37" s="233">
        <f>E37/G37</f>
        <v>1.1718293395675046</v>
      </c>
      <c r="J37" s="229" t="s">
        <v>1912</v>
      </c>
      <c r="K37" s="229" t="s">
        <v>1251</v>
      </c>
      <c r="L37" s="63" t="s">
        <v>53</v>
      </c>
      <c r="M37" s="40">
        <v>-1</v>
      </c>
      <c r="N37" s="41">
        <f t="shared" si="19"/>
        <v>1</v>
      </c>
      <c r="O37" s="41">
        <f t="shared" si="20"/>
        <v>1.1718293395675046</v>
      </c>
      <c r="AC37" s="64">
        <f t="shared" si="9"/>
        <v>1.0111046171829341</v>
      </c>
      <c r="AD37" s="64">
        <f t="shared" si="9"/>
        <v>1.1718293395675046</v>
      </c>
    </row>
    <row r="38" spans="1:37" ht="33.75" outlineLevel="2" x14ac:dyDescent="0.25">
      <c r="A38" s="236" t="s">
        <v>324</v>
      </c>
      <c r="B38" s="141" t="s">
        <v>322</v>
      </c>
      <c r="C38" s="229" t="s">
        <v>314</v>
      </c>
      <c r="D38" s="184" t="s">
        <v>312</v>
      </c>
      <c r="E38" s="232">
        <v>60.47</v>
      </c>
      <c r="F38" s="232">
        <v>60</v>
      </c>
      <c r="G38" s="232">
        <v>60.14</v>
      </c>
      <c r="H38" s="235">
        <f>G38/F38</f>
        <v>1.0023333333333333</v>
      </c>
      <c r="I38" s="235">
        <f>G38/E38</f>
        <v>0.99454274847031587</v>
      </c>
      <c r="J38" s="229" t="s">
        <v>41</v>
      </c>
      <c r="K38" s="229" t="s">
        <v>41</v>
      </c>
      <c r="L38" s="63" t="s">
        <v>53</v>
      </c>
      <c r="M38" s="40">
        <v>1</v>
      </c>
      <c r="N38" s="41">
        <f t="shared" si="19"/>
        <v>1</v>
      </c>
      <c r="O38" s="41">
        <f t="shared" si="20"/>
        <v>0.99454274847031587</v>
      </c>
      <c r="AC38" s="64">
        <f t="shared" si="9"/>
        <v>1.0023333333333333</v>
      </c>
      <c r="AD38" s="64">
        <f t="shared" si="9"/>
        <v>0.99454274847031587</v>
      </c>
    </row>
    <row r="39" spans="1:37" ht="33.75" outlineLevel="2" x14ac:dyDescent="0.25">
      <c r="A39" s="236" t="s">
        <v>325</v>
      </c>
      <c r="B39" s="141" t="s">
        <v>327</v>
      </c>
      <c r="C39" s="229" t="s">
        <v>314</v>
      </c>
      <c r="D39" s="184" t="s">
        <v>312</v>
      </c>
      <c r="E39" s="232">
        <v>90.1</v>
      </c>
      <c r="F39" s="232">
        <v>90.04</v>
      </c>
      <c r="G39" s="232">
        <v>90.04</v>
      </c>
      <c r="H39" s="235">
        <f t="shared" ref="H39:H42" si="21">G39/F39</f>
        <v>1</v>
      </c>
      <c r="I39" s="235">
        <f t="shared" ref="I39:I42" si="22">G39/E39</f>
        <v>0.99933407325194246</v>
      </c>
      <c r="J39" s="229" t="s">
        <v>41</v>
      </c>
      <c r="K39" s="229" t="s">
        <v>41</v>
      </c>
      <c r="L39" s="63" t="s">
        <v>53</v>
      </c>
      <c r="M39" s="40">
        <v>1</v>
      </c>
      <c r="N39" s="41">
        <f t="shared" si="19"/>
        <v>1</v>
      </c>
      <c r="O39" s="41">
        <f t="shared" si="20"/>
        <v>0.99933407325194246</v>
      </c>
      <c r="AC39" s="64">
        <f t="shared" si="9"/>
        <v>1</v>
      </c>
      <c r="AD39" s="64">
        <f t="shared" si="9"/>
        <v>0.99933407325194246</v>
      </c>
    </row>
    <row r="40" spans="1:37" ht="39.75" customHeight="1" outlineLevel="2" x14ac:dyDescent="0.25">
      <c r="A40" s="236" t="s">
        <v>326</v>
      </c>
      <c r="B40" s="141" t="s">
        <v>330</v>
      </c>
      <c r="C40" s="229" t="s">
        <v>314</v>
      </c>
      <c r="D40" s="184" t="s">
        <v>312</v>
      </c>
      <c r="E40" s="232">
        <v>95.53</v>
      </c>
      <c r="F40" s="232">
        <v>95.54</v>
      </c>
      <c r="G40" s="232">
        <v>95.54</v>
      </c>
      <c r="H40" s="235">
        <f t="shared" si="21"/>
        <v>1</v>
      </c>
      <c r="I40" s="235">
        <f t="shared" si="22"/>
        <v>1.0001046791583796</v>
      </c>
      <c r="J40" s="229" t="s">
        <v>41</v>
      </c>
      <c r="K40" s="229" t="s">
        <v>41</v>
      </c>
      <c r="L40" s="63" t="s">
        <v>53</v>
      </c>
      <c r="M40" s="40">
        <v>1</v>
      </c>
      <c r="N40" s="41">
        <f t="shared" si="19"/>
        <v>1</v>
      </c>
      <c r="O40" s="41">
        <f t="shared" si="20"/>
        <v>1.0001046791583796</v>
      </c>
      <c r="AC40" s="64">
        <f t="shared" si="9"/>
        <v>1</v>
      </c>
      <c r="AD40" s="64">
        <f t="shared" si="9"/>
        <v>1.0001046791583796</v>
      </c>
    </row>
    <row r="41" spans="1:37" ht="33.75" outlineLevel="2" x14ac:dyDescent="0.25">
      <c r="A41" s="236" t="s">
        <v>328</v>
      </c>
      <c r="B41" s="141" t="s">
        <v>69</v>
      </c>
      <c r="C41" s="229" t="s">
        <v>314</v>
      </c>
      <c r="D41" s="184" t="s">
        <v>312</v>
      </c>
      <c r="E41" s="232">
        <v>100</v>
      </c>
      <c r="F41" s="232">
        <v>100</v>
      </c>
      <c r="G41" s="232">
        <v>100</v>
      </c>
      <c r="H41" s="235">
        <f t="shared" si="21"/>
        <v>1</v>
      </c>
      <c r="I41" s="235">
        <f t="shared" si="22"/>
        <v>1</v>
      </c>
      <c r="J41" s="229" t="s">
        <v>41</v>
      </c>
      <c r="K41" s="229" t="s">
        <v>41</v>
      </c>
      <c r="L41" s="63" t="s">
        <v>53</v>
      </c>
      <c r="M41" s="40">
        <v>1</v>
      </c>
      <c r="N41" s="41">
        <f t="shared" si="19"/>
        <v>1</v>
      </c>
      <c r="O41" s="41">
        <f t="shared" si="20"/>
        <v>1</v>
      </c>
      <c r="AC41" s="64">
        <f t="shared" si="9"/>
        <v>1</v>
      </c>
      <c r="AD41" s="64">
        <f t="shared" si="9"/>
        <v>1</v>
      </c>
    </row>
    <row r="42" spans="1:37" ht="45" outlineLevel="2" x14ac:dyDescent="0.25">
      <c r="A42" s="236" t="s">
        <v>329</v>
      </c>
      <c r="B42" s="141" t="s">
        <v>68</v>
      </c>
      <c r="C42" s="229" t="s">
        <v>1907</v>
      </c>
      <c r="D42" s="184" t="s">
        <v>312</v>
      </c>
      <c r="E42" s="232">
        <v>2.7</v>
      </c>
      <c r="F42" s="232">
        <v>2.9</v>
      </c>
      <c r="G42" s="232">
        <v>2.9</v>
      </c>
      <c r="H42" s="235">
        <f t="shared" si="21"/>
        <v>1</v>
      </c>
      <c r="I42" s="235">
        <f t="shared" si="22"/>
        <v>1.074074074074074</v>
      </c>
      <c r="J42" s="229" t="s">
        <v>1913</v>
      </c>
      <c r="K42" s="229" t="s">
        <v>41</v>
      </c>
      <c r="L42" s="63" t="s">
        <v>53</v>
      </c>
      <c r="M42" s="40">
        <v>0</v>
      </c>
      <c r="N42" s="41">
        <f t="shared" si="19"/>
        <v>1</v>
      </c>
      <c r="O42" s="41">
        <f t="shared" si="20"/>
        <v>1.074074074074074</v>
      </c>
      <c r="AC42" s="64">
        <f t="shared" si="9"/>
        <v>1</v>
      </c>
      <c r="AD42" s="64">
        <f t="shared" si="9"/>
        <v>1.074074074074074</v>
      </c>
    </row>
    <row r="43" spans="1:37" s="45" customFormat="1" outlineLevel="1" x14ac:dyDescent="0.25">
      <c r="A43" s="65" t="s">
        <v>48</v>
      </c>
      <c r="B43" s="619" t="s">
        <v>70</v>
      </c>
      <c r="C43" s="619"/>
      <c r="D43" s="619"/>
      <c r="E43" s="619"/>
      <c r="F43" s="619"/>
      <c r="G43" s="619"/>
      <c r="H43" s="66">
        <f>AVERAGE(N44:N47)</f>
        <v>1</v>
      </c>
      <c r="I43" s="66">
        <f>AVERAGE(O44:O47)</f>
        <v>1.0110777518985186</v>
      </c>
      <c r="J43" s="67"/>
      <c r="K43" s="67"/>
      <c r="L43" s="68"/>
      <c r="M43" s="61"/>
      <c r="N43" s="49"/>
      <c r="O43" s="49"/>
      <c r="P43" s="47"/>
      <c r="Q43" s="47"/>
      <c r="R43" s="98">
        <f>COUNTA(C44:C48)</f>
        <v>5</v>
      </c>
      <c r="S43" s="97">
        <v>2</v>
      </c>
      <c r="T43" s="98">
        <f>COUNTIFS(AC44:AC48,"&gt;1,50")</f>
        <v>0</v>
      </c>
      <c r="U43" s="98">
        <f>COUNTIFS(AC44:AC48,"&gt;=0,995",AC44:AC48,"&lt;=1,5")</f>
        <v>3</v>
      </c>
      <c r="V43" s="98">
        <f>COUNTIFS(AC44:AC48,"&gt;=0,85",AC44:AC48,"&lt;0,995")</f>
        <v>0</v>
      </c>
      <c r="W43" s="98">
        <f>COUNTIFS(AC44:AC48,"&lt;0,85")</f>
        <v>0</v>
      </c>
      <c r="X43" s="50">
        <v>2</v>
      </c>
      <c r="Z43" s="90">
        <f>COUNTIFS(AD44:AD48,"&gt;=1,01")</f>
        <v>1</v>
      </c>
      <c r="AA43" s="90">
        <f>COUNTIFS(AD44:AD48,"&gt;=0,99",AD44:AD48,"&lt;1,01")</f>
        <v>1</v>
      </c>
      <c r="AB43" s="91">
        <f>COUNTIFS(AD44:AD48,"&lt;0,99")</f>
        <v>0</v>
      </c>
      <c r="AC43" s="64"/>
      <c r="AD43" s="64"/>
      <c r="AK43" s="45">
        <f>SUM(T43:X43)-R43</f>
        <v>0</v>
      </c>
    </row>
    <row r="44" spans="1:37" ht="55.5" customHeight="1" outlineLevel="2" x14ac:dyDescent="0.25">
      <c r="A44" s="236" t="s">
        <v>71</v>
      </c>
      <c r="B44" s="141" t="s">
        <v>679</v>
      </c>
      <c r="C44" s="153" t="s">
        <v>680</v>
      </c>
      <c r="D44" s="226" t="s">
        <v>298</v>
      </c>
      <c r="E44" s="234">
        <v>5.3</v>
      </c>
      <c r="F44" s="135">
        <v>5.7</v>
      </c>
      <c r="G44" s="234">
        <v>5.2</v>
      </c>
      <c r="H44" s="235">
        <f>F44/G44</f>
        <v>1.0961538461538463</v>
      </c>
      <c r="I44" s="235">
        <f>E44/G44</f>
        <v>1.0192307692307692</v>
      </c>
      <c r="J44" s="229" t="s">
        <v>1325</v>
      </c>
      <c r="K44" s="229" t="s">
        <v>41</v>
      </c>
      <c r="L44" s="63" t="s">
        <v>53</v>
      </c>
      <c r="M44" s="40">
        <v>-1</v>
      </c>
      <c r="N44" s="41"/>
      <c r="O44" s="41"/>
      <c r="AC44" s="64"/>
      <c r="AD44" s="64"/>
      <c r="AE44" s="59">
        <v>1</v>
      </c>
    </row>
    <row r="45" spans="1:37" ht="56.25" outlineLevel="2" x14ac:dyDescent="0.25">
      <c r="A45" s="236" t="s">
        <v>72</v>
      </c>
      <c r="B45" s="141" t="s">
        <v>336</v>
      </c>
      <c r="C45" s="153" t="s">
        <v>337</v>
      </c>
      <c r="D45" s="226" t="s">
        <v>298</v>
      </c>
      <c r="E45" s="234">
        <v>33.299999999999997</v>
      </c>
      <c r="F45" s="135">
        <v>35</v>
      </c>
      <c r="G45" s="234">
        <v>30.7</v>
      </c>
      <c r="H45" s="235">
        <f>F45/G45</f>
        <v>1.1400651465798046</v>
      </c>
      <c r="I45" s="235">
        <f>E45/G45</f>
        <v>1.0846905537459284</v>
      </c>
      <c r="J45" s="229" t="s">
        <v>1325</v>
      </c>
      <c r="K45" s="229" t="s">
        <v>41</v>
      </c>
      <c r="L45" s="63" t="s">
        <v>53</v>
      </c>
      <c r="M45" s="40">
        <v>-1</v>
      </c>
      <c r="N45" s="41"/>
      <c r="O45" s="41"/>
      <c r="AC45" s="64"/>
      <c r="AD45" s="64"/>
    </row>
    <row r="46" spans="1:37" ht="22.5" outlineLevel="2" x14ac:dyDescent="0.25">
      <c r="A46" s="236" t="s">
        <v>73</v>
      </c>
      <c r="B46" s="141" t="s">
        <v>335</v>
      </c>
      <c r="C46" s="153" t="s">
        <v>314</v>
      </c>
      <c r="D46" s="184" t="s">
        <v>312</v>
      </c>
      <c r="E46" s="239">
        <v>57.7</v>
      </c>
      <c r="F46" s="135">
        <v>56.8</v>
      </c>
      <c r="G46" s="239">
        <v>58.5</v>
      </c>
      <c r="H46" s="235">
        <f>G46/F46</f>
        <v>1.0299295774647887</v>
      </c>
      <c r="I46" s="235">
        <f>G46/E46</f>
        <v>1.0138648180242633</v>
      </c>
      <c r="J46" s="229" t="s">
        <v>1916</v>
      </c>
      <c r="K46" s="229" t="s">
        <v>41</v>
      </c>
      <c r="L46" s="63" t="s">
        <v>53</v>
      </c>
      <c r="M46" s="40">
        <v>1</v>
      </c>
      <c r="N46" s="41">
        <f t="shared" ref="N46:N48" si="23">IF(H46&gt;1,1,H46)</f>
        <v>1</v>
      </c>
      <c r="O46" s="41">
        <f t="shared" ref="O46:O50" si="24">IF(I46&gt;1.25,1.25,I46)</f>
        <v>1.0138648180242633</v>
      </c>
      <c r="AC46" s="64">
        <f t="shared" si="9"/>
        <v>1.0299295774647887</v>
      </c>
      <c r="AD46" s="64">
        <f t="shared" si="9"/>
        <v>1.0138648180242633</v>
      </c>
      <c r="AE46" s="59">
        <v>1</v>
      </c>
    </row>
    <row r="47" spans="1:37" ht="25.5" customHeight="1" outlineLevel="2" x14ac:dyDescent="0.25">
      <c r="A47" s="236" t="s">
        <v>74</v>
      </c>
      <c r="B47" s="141" t="s">
        <v>681</v>
      </c>
      <c r="C47" s="153" t="s">
        <v>314</v>
      </c>
      <c r="D47" s="184" t="s">
        <v>312</v>
      </c>
      <c r="E47" s="231">
        <v>97.7</v>
      </c>
      <c r="F47" s="135">
        <v>98.51</v>
      </c>
      <c r="G47" s="231">
        <v>98.51</v>
      </c>
      <c r="H47" s="235">
        <f t="shared" ref="H47" si="25">G47/F47</f>
        <v>1</v>
      </c>
      <c r="I47" s="235">
        <f t="shared" ref="I47" si="26">G47/E47</f>
        <v>1.0082906857727738</v>
      </c>
      <c r="J47" s="229" t="s">
        <v>1917</v>
      </c>
      <c r="K47" s="229" t="s">
        <v>1918</v>
      </c>
      <c r="L47" s="63" t="s">
        <v>53</v>
      </c>
      <c r="M47" s="40">
        <v>1</v>
      </c>
      <c r="N47" s="41">
        <f t="shared" si="23"/>
        <v>1</v>
      </c>
      <c r="O47" s="41">
        <f t="shared" si="24"/>
        <v>1.0082906857727738</v>
      </c>
      <c r="AC47" s="64">
        <f t="shared" si="9"/>
        <v>1</v>
      </c>
      <c r="AD47" s="64">
        <f t="shared" si="9"/>
        <v>1.0082906857727738</v>
      </c>
    </row>
    <row r="48" spans="1:37" ht="105" customHeight="1" outlineLevel="2" x14ac:dyDescent="0.25">
      <c r="A48" s="236" t="s">
        <v>1914</v>
      </c>
      <c r="B48" s="38" t="s">
        <v>1915</v>
      </c>
      <c r="C48" s="229" t="s">
        <v>314</v>
      </c>
      <c r="D48" s="238" t="s">
        <v>331</v>
      </c>
      <c r="E48" s="239" t="s">
        <v>1251</v>
      </c>
      <c r="F48" s="239">
        <v>95</v>
      </c>
      <c r="G48" s="239">
        <v>95</v>
      </c>
      <c r="H48" s="235">
        <f>G48/F48</f>
        <v>1</v>
      </c>
      <c r="I48" s="235" t="s">
        <v>41</v>
      </c>
      <c r="J48" s="229" t="s">
        <v>1251</v>
      </c>
      <c r="K48" s="229" t="s">
        <v>1251</v>
      </c>
      <c r="L48" s="63" t="s">
        <v>685</v>
      </c>
      <c r="M48" s="40">
        <v>0</v>
      </c>
      <c r="N48" s="41">
        <f t="shared" si="23"/>
        <v>1</v>
      </c>
      <c r="O48" s="41" t="s">
        <v>41</v>
      </c>
      <c r="AC48" s="64">
        <f t="shared" si="9"/>
        <v>1</v>
      </c>
      <c r="AD48" s="440"/>
    </row>
    <row r="49" spans="1:37" s="45" customFormat="1" outlineLevel="1" x14ac:dyDescent="0.25">
      <c r="A49" s="65" t="s">
        <v>49</v>
      </c>
      <c r="B49" s="619" t="s">
        <v>75</v>
      </c>
      <c r="C49" s="619"/>
      <c r="D49" s="619"/>
      <c r="E49" s="619"/>
      <c r="F49" s="619"/>
      <c r="G49" s="619"/>
      <c r="H49" s="66">
        <f>AVERAGE(N50:N55)</f>
        <v>0.86111111111111105</v>
      </c>
      <c r="I49" s="66">
        <f>AVERAGE(O50:O55)</f>
        <v>1.0081743869209809</v>
      </c>
      <c r="J49" s="67"/>
      <c r="K49" s="67"/>
      <c r="L49" s="68"/>
      <c r="M49" s="61"/>
      <c r="N49" s="49"/>
      <c r="O49" s="41"/>
      <c r="P49" s="47"/>
      <c r="Q49" s="47"/>
      <c r="R49" s="98">
        <f>COUNTA(C50:C55)</f>
        <v>6</v>
      </c>
      <c r="S49" s="97">
        <v>0</v>
      </c>
      <c r="T49" s="98">
        <f>COUNTIFS(AC50:AC55,"&gt;1,50")</f>
        <v>0</v>
      </c>
      <c r="U49" s="98">
        <f>COUNTIFS(AC50:AC55,"&gt;=0,995",AC50:AC55,"&lt;=1,5")</f>
        <v>4</v>
      </c>
      <c r="V49" s="98">
        <f>COUNTIFS(AC50:AC55,"&gt;=0,85",AC50:AC55,"&lt;0,995")</f>
        <v>0</v>
      </c>
      <c r="W49" s="98">
        <f>COUNTIFS(AC50:AC55,"&lt;0,85")</f>
        <v>2</v>
      </c>
      <c r="X49" s="50"/>
      <c r="Z49" s="90">
        <f>COUNTIFS(AD50:AD55,"&gt;=1,01")</f>
        <v>0</v>
      </c>
      <c r="AA49" s="90">
        <f>COUNTIFS(AD50:AD55,"&gt;=0,99",AD50:AD55,"&lt;1,01")</f>
        <v>1</v>
      </c>
      <c r="AB49" s="91">
        <f>COUNTIFS(AD50:AD55,"&lt;0,99")</f>
        <v>0</v>
      </c>
      <c r="AC49" s="64"/>
      <c r="AD49" s="64"/>
      <c r="AK49" s="45">
        <f>SUM(T49:X49)-R49</f>
        <v>0</v>
      </c>
    </row>
    <row r="50" spans="1:37" ht="67.5" outlineLevel="2" x14ac:dyDescent="0.25">
      <c r="A50" s="236" t="s">
        <v>76</v>
      </c>
      <c r="B50" s="141" t="s">
        <v>682</v>
      </c>
      <c r="C50" s="229" t="s">
        <v>314</v>
      </c>
      <c r="D50" s="226" t="s">
        <v>298</v>
      </c>
      <c r="E50" s="239">
        <v>37</v>
      </c>
      <c r="F50" s="239">
        <v>36.700000000000003</v>
      </c>
      <c r="G50" s="239">
        <v>36.700000000000003</v>
      </c>
      <c r="H50" s="235">
        <f>F50/G50</f>
        <v>1</v>
      </c>
      <c r="I50" s="235">
        <f>E50/G50</f>
        <v>1.0081743869209809</v>
      </c>
      <c r="J50" s="229" t="s">
        <v>41</v>
      </c>
      <c r="K50" s="229" t="s">
        <v>41</v>
      </c>
      <c r="L50" s="63" t="s">
        <v>53</v>
      </c>
      <c r="M50" s="40">
        <v>-1</v>
      </c>
      <c r="N50" s="41">
        <f t="shared" ref="N50:N55" si="27">IF(H50&gt;1,1,H50)</f>
        <v>1</v>
      </c>
      <c r="O50" s="41">
        <f t="shared" si="24"/>
        <v>1.0081743869209809</v>
      </c>
      <c r="AC50" s="64">
        <f t="shared" si="9"/>
        <v>1</v>
      </c>
      <c r="AD50" s="64">
        <f t="shared" si="9"/>
        <v>1.0081743869209809</v>
      </c>
    </row>
    <row r="51" spans="1:37" ht="42" customHeight="1" outlineLevel="2" x14ac:dyDescent="0.25">
      <c r="A51" s="236" t="s">
        <v>77</v>
      </c>
      <c r="B51" s="141" t="s">
        <v>338</v>
      </c>
      <c r="C51" s="449" t="s">
        <v>848</v>
      </c>
      <c r="D51" s="238" t="s">
        <v>331</v>
      </c>
      <c r="E51" s="239">
        <v>16</v>
      </c>
      <c r="F51" s="239">
        <v>27</v>
      </c>
      <c r="G51" s="239">
        <v>18</v>
      </c>
      <c r="H51" s="235">
        <f>G51/F51</f>
        <v>0.66666666666666663</v>
      </c>
      <c r="I51" s="235">
        <f t="shared" ref="I51:I55" si="28">E51/G51</f>
        <v>0.88888888888888884</v>
      </c>
      <c r="J51" s="229" t="s">
        <v>1919</v>
      </c>
      <c r="K51" s="229" t="s">
        <v>1920</v>
      </c>
      <c r="L51" s="63" t="s">
        <v>685</v>
      </c>
      <c r="M51" s="40">
        <v>0</v>
      </c>
      <c r="N51" s="41">
        <f t="shared" si="27"/>
        <v>0.66666666666666663</v>
      </c>
      <c r="O51" s="69" t="s">
        <v>41</v>
      </c>
      <c r="AC51" s="64">
        <f t="shared" si="9"/>
        <v>0.66666666666666663</v>
      </c>
      <c r="AD51" s="64" t="s">
        <v>41</v>
      </c>
      <c r="AE51" s="59">
        <v>1</v>
      </c>
    </row>
    <row r="52" spans="1:37" ht="88.5" customHeight="1" outlineLevel="2" x14ac:dyDescent="0.25">
      <c r="A52" s="240" t="s">
        <v>78</v>
      </c>
      <c r="B52" s="141" t="s">
        <v>665</v>
      </c>
      <c r="C52" s="449" t="s">
        <v>848</v>
      </c>
      <c r="D52" s="238" t="s">
        <v>331</v>
      </c>
      <c r="E52" s="239">
        <v>3</v>
      </c>
      <c r="F52" s="239">
        <v>4</v>
      </c>
      <c r="G52" s="239">
        <v>2</v>
      </c>
      <c r="H52" s="235">
        <f>G52/F52</f>
        <v>0.5</v>
      </c>
      <c r="I52" s="235">
        <f t="shared" si="28"/>
        <v>1.5</v>
      </c>
      <c r="J52" s="229" t="s">
        <v>1921</v>
      </c>
      <c r="K52" s="229" t="s">
        <v>1922</v>
      </c>
      <c r="L52" s="63" t="s">
        <v>685</v>
      </c>
      <c r="M52" s="40">
        <v>0</v>
      </c>
      <c r="N52" s="41">
        <f t="shared" si="27"/>
        <v>0.5</v>
      </c>
      <c r="O52" s="69" t="s">
        <v>41</v>
      </c>
      <c r="AC52" s="64">
        <f t="shared" si="9"/>
        <v>0.5</v>
      </c>
      <c r="AD52" s="64" t="s">
        <v>41</v>
      </c>
    </row>
    <row r="53" spans="1:37" ht="33.75" outlineLevel="2" x14ac:dyDescent="0.25">
      <c r="A53" s="236" t="s">
        <v>80</v>
      </c>
      <c r="B53" s="141" t="s">
        <v>683</v>
      </c>
      <c r="C53" s="449" t="s">
        <v>848</v>
      </c>
      <c r="D53" s="238" t="s">
        <v>331</v>
      </c>
      <c r="E53" s="239">
        <v>0</v>
      </c>
      <c r="F53" s="239">
        <v>2</v>
      </c>
      <c r="G53" s="239">
        <v>2</v>
      </c>
      <c r="H53" s="235">
        <f>G53/F53</f>
        <v>1</v>
      </c>
      <c r="I53" s="235" t="s">
        <v>41</v>
      </c>
      <c r="J53" s="229" t="s">
        <v>1251</v>
      </c>
      <c r="K53" s="229" t="s">
        <v>1251</v>
      </c>
      <c r="L53" s="63" t="s">
        <v>685</v>
      </c>
      <c r="M53" s="40">
        <v>0</v>
      </c>
      <c r="N53" s="41">
        <f t="shared" si="27"/>
        <v>1</v>
      </c>
      <c r="O53" s="69" t="s">
        <v>41</v>
      </c>
      <c r="AC53" s="64">
        <f t="shared" si="9"/>
        <v>1</v>
      </c>
      <c r="AD53" s="64" t="s">
        <v>41</v>
      </c>
    </row>
    <row r="54" spans="1:37" ht="56.25" outlineLevel="2" x14ac:dyDescent="0.25">
      <c r="A54" s="236" t="s">
        <v>81</v>
      </c>
      <c r="B54" s="141" t="s">
        <v>684</v>
      </c>
      <c r="C54" s="229" t="s">
        <v>334</v>
      </c>
      <c r="D54" s="238" t="s">
        <v>331</v>
      </c>
      <c r="E54" s="239">
        <v>3</v>
      </c>
      <c r="F54" s="239">
        <v>35</v>
      </c>
      <c r="G54" s="239">
        <v>35</v>
      </c>
      <c r="H54" s="235">
        <f>G54/F54</f>
        <v>1</v>
      </c>
      <c r="I54" s="235">
        <f t="shared" si="28"/>
        <v>8.5714285714285715E-2</v>
      </c>
      <c r="J54" s="229" t="s">
        <v>41</v>
      </c>
      <c r="K54" s="229" t="s">
        <v>41</v>
      </c>
      <c r="L54" s="63" t="s">
        <v>53</v>
      </c>
      <c r="M54" s="40">
        <v>0</v>
      </c>
      <c r="N54" s="41">
        <f t="shared" si="27"/>
        <v>1</v>
      </c>
      <c r="O54" s="69" t="s">
        <v>41</v>
      </c>
      <c r="AC54" s="64">
        <f t="shared" si="9"/>
        <v>1</v>
      </c>
      <c r="AD54" s="64" t="s">
        <v>41</v>
      </c>
    </row>
    <row r="55" spans="1:37" ht="33.75" outlineLevel="2" x14ac:dyDescent="0.25">
      <c r="A55" s="236" t="s">
        <v>1119</v>
      </c>
      <c r="B55" s="141" t="s">
        <v>1120</v>
      </c>
      <c r="C55" s="229" t="s">
        <v>334</v>
      </c>
      <c r="D55" s="238" t="s">
        <v>331</v>
      </c>
      <c r="E55" s="239">
        <v>100</v>
      </c>
      <c r="F55" s="239">
        <v>213</v>
      </c>
      <c r="G55" s="239">
        <v>213</v>
      </c>
      <c r="H55" s="235">
        <f>G55/F55</f>
        <v>1</v>
      </c>
      <c r="I55" s="235">
        <f t="shared" si="28"/>
        <v>0.46948356807511737</v>
      </c>
      <c r="J55" s="229" t="s">
        <v>1251</v>
      </c>
      <c r="K55" s="229" t="s">
        <v>1923</v>
      </c>
      <c r="L55" s="63" t="s">
        <v>53</v>
      </c>
      <c r="M55" s="40">
        <v>0</v>
      </c>
      <c r="N55" s="41">
        <f t="shared" si="27"/>
        <v>1</v>
      </c>
      <c r="O55" s="69" t="s">
        <v>41</v>
      </c>
      <c r="AC55" s="64">
        <f t="shared" si="9"/>
        <v>1</v>
      </c>
      <c r="AD55" s="64" t="s">
        <v>41</v>
      </c>
    </row>
    <row r="56" spans="1:37" s="45" customFormat="1" outlineLevel="1" x14ac:dyDescent="0.25">
      <c r="A56" s="65" t="s">
        <v>50</v>
      </c>
      <c r="B56" s="619" t="s">
        <v>82</v>
      </c>
      <c r="C56" s="619"/>
      <c r="D56" s="619"/>
      <c r="E56" s="619"/>
      <c r="F56" s="619"/>
      <c r="G56" s="619"/>
      <c r="H56" s="66">
        <f>AVERAGE(N57:N62)</f>
        <v>0.96409298464092996</v>
      </c>
      <c r="I56" s="66">
        <f>AVERAGE(O57:O62)</f>
        <v>1.0807061628566283</v>
      </c>
      <c r="J56" s="67"/>
      <c r="K56" s="67"/>
      <c r="L56" s="68"/>
      <c r="M56" s="61"/>
      <c r="N56" s="49"/>
      <c r="O56" s="49"/>
      <c r="P56" s="47"/>
      <c r="Q56" s="47"/>
      <c r="R56" s="98">
        <f>COUNTA(C57:C62)</f>
        <v>6</v>
      </c>
      <c r="S56" s="97">
        <v>0</v>
      </c>
      <c r="T56" s="98">
        <f>COUNTIFS(AC57:AC62,"&gt;1,50")</f>
        <v>0</v>
      </c>
      <c r="U56" s="98">
        <f>COUNTIFS(AC57:AC62,"&gt;=0,995",AC57:AC62,"&lt;=1,5")</f>
        <v>5</v>
      </c>
      <c r="V56" s="98">
        <f>COUNTIFS(AC57:AC62,"&gt;=0,85",AC57:AC62,"&lt;0,995")</f>
        <v>0</v>
      </c>
      <c r="W56" s="98">
        <f>COUNTIFS(AC57:AC62,"&lt;0,85")</f>
        <v>1</v>
      </c>
      <c r="X56" s="50"/>
      <c r="Z56" s="90">
        <f>COUNTIFS(AD57:AD62,"&gt;=1,01")</f>
        <v>5</v>
      </c>
      <c r="AA56" s="90">
        <f>COUNTIFS(AD57:AD62,"&gt;=0,99",AD57:AD62,"&lt;1,01")</f>
        <v>1</v>
      </c>
      <c r="AB56" s="91">
        <f>COUNTIFS(AD57:AD62,"&lt;0,99")</f>
        <v>0</v>
      </c>
      <c r="AC56" s="64"/>
      <c r="AD56" s="64"/>
      <c r="AK56" s="45">
        <f>SUM(T56:X56)-R56</f>
        <v>0</v>
      </c>
    </row>
    <row r="57" spans="1:37" ht="56.25" outlineLevel="2" x14ac:dyDescent="0.25">
      <c r="A57" s="236" t="s">
        <v>83</v>
      </c>
      <c r="B57" s="141" t="s">
        <v>1924</v>
      </c>
      <c r="C57" s="153" t="s">
        <v>314</v>
      </c>
      <c r="D57" s="184" t="s">
        <v>312</v>
      </c>
      <c r="E57" s="227">
        <v>95.5</v>
      </c>
      <c r="F57" s="227">
        <v>82.8</v>
      </c>
      <c r="G57" s="227">
        <v>95.16</v>
      </c>
      <c r="H57" s="235">
        <f t="shared" ref="H57:H62" si="29">G57/F57</f>
        <v>1.1492753623188405</v>
      </c>
      <c r="I57" s="235">
        <f>G57/E57</f>
        <v>0.99643979057591614</v>
      </c>
      <c r="J57" s="229" t="s">
        <v>1326</v>
      </c>
      <c r="K57" s="229" t="s">
        <v>41</v>
      </c>
      <c r="L57" s="63" t="s">
        <v>53</v>
      </c>
      <c r="M57" s="40">
        <v>1</v>
      </c>
      <c r="N57" s="41">
        <f>IF(H57&gt;1,1,H57)</f>
        <v>1</v>
      </c>
      <c r="O57" s="41">
        <f>IF(I57&gt;1.25,1.25,I57)</f>
        <v>0.99643979057591614</v>
      </c>
      <c r="AC57" s="64">
        <f t="shared" si="9"/>
        <v>1.1492753623188405</v>
      </c>
      <c r="AD57" s="64">
        <f t="shared" si="9"/>
        <v>0.99643979057591614</v>
      </c>
    </row>
    <row r="58" spans="1:37" ht="67.5" outlineLevel="2" x14ac:dyDescent="0.25">
      <c r="A58" s="236" t="s">
        <v>84</v>
      </c>
      <c r="B58" s="141" t="s">
        <v>1925</v>
      </c>
      <c r="C58" s="153" t="s">
        <v>314</v>
      </c>
      <c r="D58" s="184" t="s">
        <v>312</v>
      </c>
      <c r="E58" s="230">
        <v>89.7</v>
      </c>
      <c r="F58" s="227">
        <v>79.8</v>
      </c>
      <c r="G58" s="230">
        <v>95.93</v>
      </c>
      <c r="H58" s="235">
        <f t="shared" si="29"/>
        <v>1.2021303258145364</v>
      </c>
      <c r="I58" s="235">
        <f t="shared" ref="I58" si="30">G58/E58</f>
        <v>1.0694537346711259</v>
      </c>
      <c r="J58" s="229" t="s">
        <v>1326</v>
      </c>
      <c r="K58" s="229" t="s">
        <v>1927</v>
      </c>
      <c r="L58" s="63" t="s">
        <v>53</v>
      </c>
      <c r="M58" s="40">
        <v>1</v>
      </c>
      <c r="N58" s="41">
        <f t="shared" ref="N58:N79" si="31">IF(H58&gt;1,1,H58)</f>
        <v>1</v>
      </c>
      <c r="O58" s="41">
        <f t="shared" ref="O58:O65" si="32">IF(I58&gt;1.25,1.25,I58)</f>
        <v>1.0694537346711259</v>
      </c>
      <c r="AC58" s="64">
        <f t="shared" si="9"/>
        <v>1.2021303258145364</v>
      </c>
      <c r="AD58" s="64">
        <f t="shared" si="9"/>
        <v>1.0694537346711259</v>
      </c>
    </row>
    <row r="59" spans="1:37" ht="67.5" outlineLevel="2" x14ac:dyDescent="0.25">
      <c r="A59" s="236" t="s">
        <v>339</v>
      </c>
      <c r="B59" s="141" t="s">
        <v>686</v>
      </c>
      <c r="C59" s="153" t="s">
        <v>1926</v>
      </c>
      <c r="D59" s="184" t="s">
        <v>312</v>
      </c>
      <c r="E59" s="230">
        <v>10.526999999999999</v>
      </c>
      <c r="F59" s="227">
        <v>10.407</v>
      </c>
      <c r="G59" s="230">
        <v>11.169</v>
      </c>
      <c r="H59" s="235">
        <f t="shared" si="29"/>
        <v>1.0732199481118478</v>
      </c>
      <c r="I59" s="235">
        <f>G59/E59</f>
        <v>1.0609860359076662</v>
      </c>
      <c r="J59" s="229" t="s">
        <v>1928</v>
      </c>
      <c r="K59" s="229" t="s">
        <v>1927</v>
      </c>
      <c r="L59" s="63" t="s">
        <v>53</v>
      </c>
      <c r="M59" s="40">
        <v>1</v>
      </c>
      <c r="N59" s="41">
        <f t="shared" si="31"/>
        <v>1</v>
      </c>
      <c r="O59" s="41">
        <f t="shared" si="32"/>
        <v>1.0609860359076662</v>
      </c>
      <c r="AC59" s="64">
        <f t="shared" si="9"/>
        <v>1.0732199481118478</v>
      </c>
      <c r="AD59" s="64">
        <f t="shared" si="9"/>
        <v>1.0609860359076662</v>
      </c>
    </row>
    <row r="60" spans="1:37" ht="33.75" outlineLevel="2" x14ac:dyDescent="0.25">
      <c r="A60" s="236" t="s">
        <v>340</v>
      </c>
      <c r="B60" s="141" t="s">
        <v>687</v>
      </c>
      <c r="C60" s="153" t="s">
        <v>320</v>
      </c>
      <c r="D60" s="184" t="s">
        <v>312</v>
      </c>
      <c r="E60" s="230">
        <v>3114</v>
      </c>
      <c r="F60" s="227">
        <v>3322</v>
      </c>
      <c r="G60" s="230">
        <v>3332</v>
      </c>
      <c r="H60" s="235">
        <f t="shared" si="29"/>
        <v>1.0030102347983143</v>
      </c>
      <c r="I60" s="235">
        <f>G60/E60</f>
        <v>1.0700064226075787</v>
      </c>
      <c r="J60" s="229" t="s">
        <v>1251</v>
      </c>
      <c r="K60" s="229" t="s">
        <v>41</v>
      </c>
      <c r="L60" s="63" t="s">
        <v>53</v>
      </c>
      <c r="M60" s="40">
        <v>1</v>
      </c>
      <c r="N60" s="41">
        <f t="shared" si="31"/>
        <v>1</v>
      </c>
      <c r="O60" s="41">
        <f>IF(I60&gt;1.25,1.25,I60)</f>
        <v>1.0700064226075787</v>
      </c>
      <c r="AC60" s="64">
        <f t="shared" si="9"/>
        <v>1.0030102347983143</v>
      </c>
      <c r="AD60" s="64">
        <f t="shared" si="9"/>
        <v>1.0700064226075787</v>
      </c>
    </row>
    <row r="61" spans="1:37" ht="56.25" outlineLevel="2" x14ac:dyDescent="0.25">
      <c r="A61" s="236" t="s">
        <v>341</v>
      </c>
      <c r="B61" s="141" t="s">
        <v>688</v>
      </c>
      <c r="C61" s="153" t="s">
        <v>320</v>
      </c>
      <c r="D61" s="184" t="s">
        <v>312</v>
      </c>
      <c r="E61" s="230">
        <v>7550</v>
      </c>
      <c r="F61" s="227">
        <v>7742</v>
      </c>
      <c r="G61" s="230">
        <v>7832</v>
      </c>
      <c r="H61" s="235">
        <f t="shared" si="29"/>
        <v>1.0116249031258073</v>
      </c>
      <c r="I61" s="235">
        <f>G61/E61</f>
        <v>1.0373509933774834</v>
      </c>
      <c r="J61" s="229" t="s">
        <v>1929</v>
      </c>
      <c r="K61" s="229" t="s">
        <v>41</v>
      </c>
      <c r="L61" s="63" t="s">
        <v>53</v>
      </c>
      <c r="M61" s="40">
        <v>1</v>
      </c>
      <c r="N61" s="41">
        <f t="shared" si="31"/>
        <v>1</v>
      </c>
      <c r="O61" s="41">
        <f t="shared" si="32"/>
        <v>1.0373509933774834</v>
      </c>
      <c r="AC61" s="64">
        <f t="shared" si="9"/>
        <v>1.0116249031258073</v>
      </c>
      <c r="AD61" s="64">
        <f t="shared" si="9"/>
        <v>1.0373509933774834</v>
      </c>
    </row>
    <row r="62" spans="1:37" ht="56.25" outlineLevel="2" x14ac:dyDescent="0.25">
      <c r="A62" s="236" t="s">
        <v>342</v>
      </c>
      <c r="B62" s="141" t="s">
        <v>689</v>
      </c>
      <c r="C62" s="153" t="s">
        <v>314</v>
      </c>
      <c r="D62" s="184" t="s">
        <v>312</v>
      </c>
      <c r="E62" s="230">
        <v>38.799999999999997</v>
      </c>
      <c r="F62" s="227">
        <v>80.3</v>
      </c>
      <c r="G62" s="230">
        <v>63</v>
      </c>
      <c r="H62" s="235">
        <f t="shared" si="29"/>
        <v>0.78455790784557911</v>
      </c>
      <c r="I62" s="235">
        <f t="shared" ref="I62" si="33">G62/E62</f>
        <v>1.6237113402061858</v>
      </c>
      <c r="J62" s="229" t="s">
        <v>1930</v>
      </c>
      <c r="K62" s="229" t="s">
        <v>1931</v>
      </c>
      <c r="L62" s="63" t="s">
        <v>53</v>
      </c>
      <c r="M62" s="40">
        <v>1</v>
      </c>
      <c r="N62" s="41">
        <f t="shared" si="31"/>
        <v>0.78455790784557911</v>
      </c>
      <c r="O62" s="41">
        <f t="shared" si="32"/>
        <v>1.25</v>
      </c>
      <c r="AC62" s="64">
        <f t="shared" si="9"/>
        <v>0.78455790784557911</v>
      </c>
      <c r="AD62" s="64">
        <f t="shared" si="9"/>
        <v>1.6237113402061858</v>
      </c>
    </row>
    <row r="63" spans="1:37" s="45" customFormat="1" outlineLevel="1" x14ac:dyDescent="0.25">
      <c r="A63" s="65" t="s">
        <v>51</v>
      </c>
      <c r="B63" s="619" t="s">
        <v>85</v>
      </c>
      <c r="C63" s="619"/>
      <c r="D63" s="619"/>
      <c r="E63" s="619"/>
      <c r="F63" s="619"/>
      <c r="G63" s="619"/>
      <c r="H63" s="66">
        <f>AVERAGE(N64:N67)</f>
        <v>1</v>
      </c>
      <c r="I63" s="66">
        <f>AVERAGE(O64:O67)</f>
        <v>1</v>
      </c>
      <c r="J63" s="67"/>
      <c r="K63" s="67"/>
      <c r="L63" s="68"/>
      <c r="M63" s="61"/>
      <c r="N63" s="41"/>
      <c r="O63" s="41"/>
      <c r="P63" s="47"/>
      <c r="Q63" s="47"/>
      <c r="R63" s="98">
        <f>COUNTA(C64:C67)</f>
        <v>4</v>
      </c>
      <c r="S63" s="97">
        <v>0</v>
      </c>
      <c r="T63" s="98">
        <f>COUNTIFS(AC64:AC67,"&gt;1,50")</f>
        <v>0</v>
      </c>
      <c r="U63" s="98">
        <f>COUNTIFS(AC64:AC67,"&gt;=0,995",AC64:AC67,"&lt;=1,5")</f>
        <v>4</v>
      </c>
      <c r="V63" s="98">
        <f>COUNTIFS(AC64:AC67,"&gt;=0,85",AC64:AC67,"&lt;0,995")</f>
        <v>0</v>
      </c>
      <c r="W63" s="98">
        <f>COUNTIFS(AC64:AC67,"&lt;0,85")</f>
        <v>0</v>
      </c>
      <c r="X63" s="50"/>
      <c r="Z63" s="90">
        <f>COUNTIFS(AD64:AD67,"&gt;=1,01")</f>
        <v>0</v>
      </c>
      <c r="AA63" s="90">
        <f>COUNTIFS(AD64:AD67,"&gt;=0,99",AD64:AD67,"&lt;1,01")</f>
        <v>4</v>
      </c>
      <c r="AB63" s="91">
        <f>COUNTIFS(AD64:AD67,"&lt;0,99")</f>
        <v>0</v>
      </c>
      <c r="AC63" s="64"/>
      <c r="AD63" s="64"/>
      <c r="AK63" s="45">
        <f>SUM(T63:X63)-R63</f>
        <v>0</v>
      </c>
    </row>
    <row r="64" spans="1:37" ht="56.25" outlineLevel="2" x14ac:dyDescent="0.25">
      <c r="A64" s="236" t="s">
        <v>86</v>
      </c>
      <c r="B64" s="141" t="s">
        <v>690</v>
      </c>
      <c r="C64" s="451" t="s">
        <v>334</v>
      </c>
      <c r="D64" s="184" t="s">
        <v>312</v>
      </c>
      <c r="E64" s="230">
        <v>6300</v>
      </c>
      <c r="F64" s="230">
        <v>6300</v>
      </c>
      <c r="G64" s="230">
        <v>6300</v>
      </c>
      <c r="H64" s="235">
        <f>G64/F64</f>
        <v>1</v>
      </c>
      <c r="I64" s="235">
        <f>G64/E64</f>
        <v>1</v>
      </c>
      <c r="J64" s="229" t="s">
        <v>41</v>
      </c>
      <c r="K64" s="229" t="s">
        <v>41</v>
      </c>
      <c r="L64" s="63" t="s">
        <v>53</v>
      </c>
      <c r="M64" s="40">
        <v>1</v>
      </c>
      <c r="N64" s="41">
        <f t="shared" si="31"/>
        <v>1</v>
      </c>
      <c r="O64" s="41">
        <f t="shared" si="32"/>
        <v>1</v>
      </c>
      <c r="AC64" s="64">
        <f t="shared" si="9"/>
        <v>1</v>
      </c>
      <c r="AD64" s="64">
        <f t="shared" si="9"/>
        <v>1</v>
      </c>
    </row>
    <row r="65" spans="1:37" ht="82.5" customHeight="1" outlineLevel="2" x14ac:dyDescent="0.25">
      <c r="A65" s="236" t="s">
        <v>343</v>
      </c>
      <c r="B65" s="141" t="s">
        <v>691</v>
      </c>
      <c r="C65" s="451" t="s">
        <v>314</v>
      </c>
      <c r="D65" s="184" t="s">
        <v>312</v>
      </c>
      <c r="E65" s="230">
        <v>100</v>
      </c>
      <c r="F65" s="230">
        <v>100</v>
      </c>
      <c r="G65" s="230">
        <v>100</v>
      </c>
      <c r="H65" s="235">
        <f t="shared" ref="H65:H67" si="34">G65/F65</f>
        <v>1</v>
      </c>
      <c r="I65" s="235">
        <f t="shared" ref="I65:I66" si="35">G65/E65</f>
        <v>1</v>
      </c>
      <c r="J65" s="229" t="s">
        <v>41</v>
      </c>
      <c r="K65" s="229" t="s">
        <v>41</v>
      </c>
      <c r="L65" s="63" t="s">
        <v>53</v>
      </c>
      <c r="M65" s="40">
        <v>1</v>
      </c>
      <c r="N65" s="41">
        <f t="shared" si="31"/>
        <v>1</v>
      </c>
      <c r="O65" s="41">
        <f t="shared" si="32"/>
        <v>1</v>
      </c>
      <c r="AC65" s="64">
        <f t="shared" si="9"/>
        <v>1</v>
      </c>
      <c r="AD65" s="64">
        <f t="shared" si="9"/>
        <v>1</v>
      </c>
    </row>
    <row r="66" spans="1:37" ht="90" outlineLevel="2" x14ac:dyDescent="0.25">
      <c r="A66" s="236" t="s">
        <v>344</v>
      </c>
      <c r="B66" s="141" t="s">
        <v>692</v>
      </c>
      <c r="C66" s="451" t="s">
        <v>314</v>
      </c>
      <c r="D66" s="184" t="s">
        <v>312</v>
      </c>
      <c r="E66" s="230">
        <v>100</v>
      </c>
      <c r="F66" s="230">
        <v>100</v>
      </c>
      <c r="G66" s="230">
        <v>100</v>
      </c>
      <c r="H66" s="235">
        <f t="shared" si="34"/>
        <v>1</v>
      </c>
      <c r="I66" s="235">
        <f t="shared" si="35"/>
        <v>1</v>
      </c>
      <c r="J66" s="229" t="s">
        <v>41</v>
      </c>
      <c r="K66" s="229" t="s">
        <v>41</v>
      </c>
      <c r="L66" s="63" t="s">
        <v>53</v>
      </c>
      <c r="M66" s="40">
        <v>1</v>
      </c>
      <c r="N66" s="41">
        <f t="shared" si="31"/>
        <v>1</v>
      </c>
      <c r="O66" s="41">
        <f>IF(I66&gt;1.25,1.25,I66)</f>
        <v>1</v>
      </c>
      <c r="AC66" s="64">
        <f t="shared" si="9"/>
        <v>1</v>
      </c>
      <c r="AD66" s="64">
        <f t="shared" si="9"/>
        <v>1</v>
      </c>
    </row>
    <row r="67" spans="1:37" ht="101.25" outlineLevel="2" x14ac:dyDescent="0.25">
      <c r="A67" s="236" t="s">
        <v>345</v>
      </c>
      <c r="B67" s="141" t="s">
        <v>693</v>
      </c>
      <c r="C67" s="451" t="s">
        <v>314</v>
      </c>
      <c r="D67" s="184" t="s">
        <v>312</v>
      </c>
      <c r="E67" s="230">
        <v>100</v>
      </c>
      <c r="F67" s="230">
        <v>100</v>
      </c>
      <c r="G67" s="230">
        <v>100</v>
      </c>
      <c r="H67" s="235">
        <f t="shared" si="34"/>
        <v>1</v>
      </c>
      <c r="I67" s="235">
        <f>G67/E67</f>
        <v>1</v>
      </c>
      <c r="J67" s="229" t="s">
        <v>41</v>
      </c>
      <c r="K67" s="229" t="s">
        <v>41</v>
      </c>
      <c r="L67" s="63" t="s">
        <v>53</v>
      </c>
      <c r="M67" s="40">
        <v>1</v>
      </c>
      <c r="N67" s="41">
        <f t="shared" si="31"/>
        <v>1</v>
      </c>
      <c r="O67" s="41">
        <f>IF(I67&gt;1.25,1.25,I67)</f>
        <v>1</v>
      </c>
      <c r="AC67" s="64">
        <f t="shared" si="9"/>
        <v>1</v>
      </c>
      <c r="AD67" s="64">
        <f t="shared" si="9"/>
        <v>1</v>
      </c>
    </row>
    <row r="68" spans="1:37" s="45" customFormat="1" ht="29.25" customHeight="1" outlineLevel="1" x14ac:dyDescent="0.25">
      <c r="A68" s="85" t="s">
        <v>42</v>
      </c>
      <c r="B68" s="646" t="s">
        <v>694</v>
      </c>
      <c r="C68" s="647"/>
      <c r="D68" s="647"/>
      <c r="E68" s="647"/>
      <c r="F68" s="647"/>
      <c r="G68" s="647"/>
      <c r="H68" s="66">
        <f>AVERAGE(N69:N70)</f>
        <v>1</v>
      </c>
      <c r="I68" s="66">
        <f>AVERAGE(O69:O70)</f>
        <v>0.83991498505231688</v>
      </c>
      <c r="J68" s="67"/>
      <c r="K68" s="67"/>
      <c r="L68" s="68"/>
      <c r="M68" s="61"/>
      <c r="N68" s="41"/>
      <c r="O68" s="49"/>
      <c r="P68" s="47"/>
      <c r="Q68" s="47"/>
      <c r="R68" s="98">
        <f>COUNTA(C69:C70)</f>
        <v>2</v>
      </c>
      <c r="S68" s="97">
        <v>0</v>
      </c>
      <c r="T68" s="98">
        <f>COUNTIFS(AC69:AC70,"&gt;1,50")</f>
        <v>0</v>
      </c>
      <c r="U68" s="98">
        <f>COUNTIFS(AC69:AC70,"&gt;=0,995",AC69:AC70,"&lt;=1,5")</f>
        <v>2</v>
      </c>
      <c r="V68" s="98">
        <f>COUNTIFS(AC69:AC70,"&gt;=0,85",AC69:AC70,"&lt;0,995")</f>
        <v>0</v>
      </c>
      <c r="W68" s="98">
        <f>COUNTIFS(AC69:AC70,"&lt;0,85")</f>
        <v>0</v>
      </c>
      <c r="X68" s="50"/>
      <c r="Z68" s="90">
        <f>COUNTIFS(AD69:AD70,"&gt;=1,01")</f>
        <v>0</v>
      </c>
      <c r="AA68" s="90">
        <f>COUNTIFS(AD69:AD70,"&gt;=0,99",AD69:AD70,"&lt;1,01")</f>
        <v>0</v>
      </c>
      <c r="AB68" s="91">
        <f>COUNTIFS(AD69:AD70,"&lt;0,99")</f>
        <v>2</v>
      </c>
      <c r="AC68" s="64"/>
      <c r="AD68" s="64"/>
    </row>
    <row r="69" spans="1:37" ht="33.75" outlineLevel="2" x14ac:dyDescent="0.25">
      <c r="A69" s="236" t="s">
        <v>629</v>
      </c>
      <c r="B69" s="139" t="s">
        <v>346</v>
      </c>
      <c r="C69" s="137" t="s">
        <v>347</v>
      </c>
      <c r="D69" s="184" t="s">
        <v>312</v>
      </c>
      <c r="E69" s="243">
        <v>66.900000000000006</v>
      </c>
      <c r="F69" s="242">
        <v>41.2</v>
      </c>
      <c r="G69" s="242">
        <v>59</v>
      </c>
      <c r="H69" s="235">
        <f>G69/F69</f>
        <v>1.4320388349514561</v>
      </c>
      <c r="I69" s="235">
        <f>G69/E69</f>
        <v>0.88191330343796703</v>
      </c>
      <c r="J69" s="229" t="s">
        <v>1932</v>
      </c>
      <c r="K69" s="229" t="s">
        <v>1933</v>
      </c>
      <c r="L69" s="63" t="s">
        <v>53</v>
      </c>
      <c r="M69" s="40">
        <v>1</v>
      </c>
      <c r="N69" s="41">
        <f t="shared" si="31"/>
        <v>1</v>
      </c>
      <c r="O69" s="41">
        <f>IF(I69&gt;1.25,1.25,I69)</f>
        <v>0.88191330343796703</v>
      </c>
      <c r="AC69" s="64">
        <f t="shared" si="9"/>
        <v>1.4320388349514561</v>
      </c>
      <c r="AD69" s="64">
        <f t="shared" si="9"/>
        <v>0.88191330343796703</v>
      </c>
    </row>
    <row r="70" spans="1:37" ht="97.5" customHeight="1" outlineLevel="2" x14ac:dyDescent="0.25">
      <c r="A70" s="236" t="s">
        <v>695</v>
      </c>
      <c r="B70" s="225" t="s">
        <v>696</v>
      </c>
      <c r="C70" s="137" t="s">
        <v>314</v>
      </c>
      <c r="D70" s="184" t="s">
        <v>312</v>
      </c>
      <c r="E70" s="243">
        <v>96</v>
      </c>
      <c r="F70" s="242">
        <v>75</v>
      </c>
      <c r="G70" s="243">
        <v>76.599999999999994</v>
      </c>
      <c r="H70" s="235">
        <f>G70/F70</f>
        <v>1.0213333333333332</v>
      </c>
      <c r="I70" s="235">
        <f>G70/E70</f>
        <v>0.79791666666666661</v>
      </c>
      <c r="J70" s="229" t="s">
        <v>1934</v>
      </c>
      <c r="K70" s="229" t="s">
        <v>1251</v>
      </c>
      <c r="L70" s="63" t="s">
        <v>53</v>
      </c>
      <c r="M70" s="40">
        <v>1</v>
      </c>
      <c r="N70" s="41">
        <f t="shared" si="31"/>
        <v>1</v>
      </c>
      <c r="O70" s="41">
        <f>IF(I70&gt;1.25,1.25,I70)</f>
        <v>0.79791666666666661</v>
      </c>
      <c r="AC70" s="64">
        <f t="shared" si="9"/>
        <v>1.0213333333333332</v>
      </c>
      <c r="AD70" s="64">
        <f t="shared" si="9"/>
        <v>0.79791666666666661</v>
      </c>
    </row>
    <row r="71" spans="1:37" s="45" customFormat="1" ht="19.5" customHeight="1" x14ac:dyDescent="0.25">
      <c r="A71" s="401">
        <v>2</v>
      </c>
      <c r="B71" s="624" t="s">
        <v>697</v>
      </c>
      <c r="C71" s="624"/>
      <c r="D71" s="624"/>
      <c r="E71" s="624"/>
      <c r="F71" s="624"/>
      <c r="G71" s="624"/>
      <c r="H71" s="402">
        <f>AVERAGE(N72:N111)</f>
        <v>0.99607785039941898</v>
      </c>
      <c r="I71" s="402">
        <f>AVERAGE(O72:O111)</f>
        <v>1.0172627982538405</v>
      </c>
      <c r="J71" s="403"/>
      <c r="K71" s="403"/>
      <c r="L71" s="404"/>
      <c r="M71" s="60"/>
      <c r="N71" s="41"/>
      <c r="O71" s="41"/>
      <c r="P71" s="89"/>
      <c r="Q71" s="89"/>
      <c r="R71" s="104">
        <f>COUNTA(C72:C111)</f>
        <v>36</v>
      </c>
      <c r="S71" s="96">
        <f>R71-T71-U71-V71-W71</f>
        <v>2</v>
      </c>
      <c r="T71" s="104">
        <f>COUNTIFS(AC72:AC111,"&gt;1,50")</f>
        <v>4</v>
      </c>
      <c r="U71" s="104">
        <f>COUNTIFS(AC72:AC111,"&gt;=0,995",AC72:AC111,"&lt;=1,5")</f>
        <v>26</v>
      </c>
      <c r="V71" s="104">
        <f>COUNTIFS(AC72:AC111,"&gt;=0,85",AC72:AC111,"&lt;0,995")</f>
        <v>4</v>
      </c>
      <c r="W71" s="104">
        <f>COUNTIFS(AC72:AC111,"&lt;0,85")</f>
        <v>0</v>
      </c>
      <c r="X71" s="89"/>
      <c r="Y71" s="88"/>
      <c r="Z71" s="94">
        <f>COUNTIFS(AD72:AD111,"&gt;=1,01")</f>
        <v>14</v>
      </c>
      <c r="AA71" s="94">
        <f>COUNTIFS(AD72:AD111,"&gt;=0,99",AD72:AD111,"&lt;1,01")</f>
        <v>5</v>
      </c>
      <c r="AB71" s="95">
        <f>COUNTIFS(AD72:AD111,"&lt;0,99")</f>
        <v>6</v>
      </c>
      <c r="AC71" s="64"/>
      <c r="AD71" s="64"/>
      <c r="AK71" s="45">
        <f>SUM(T71:X71)-R71</f>
        <v>-2</v>
      </c>
    </row>
    <row r="72" spans="1:37" ht="33.75" outlineLevel="2" x14ac:dyDescent="0.25">
      <c r="A72" s="236" t="s">
        <v>348</v>
      </c>
      <c r="B72" s="379" t="s">
        <v>1327</v>
      </c>
      <c r="C72" s="127" t="s">
        <v>314</v>
      </c>
      <c r="D72" s="244" t="s">
        <v>312</v>
      </c>
      <c r="E72" s="378">
        <v>100</v>
      </c>
      <c r="F72" s="378">
        <v>100</v>
      </c>
      <c r="G72" s="378">
        <v>100</v>
      </c>
      <c r="H72" s="245">
        <f>G72/F72</f>
        <v>1</v>
      </c>
      <c r="I72" s="245">
        <f>G72/E72</f>
        <v>1</v>
      </c>
      <c r="J72" s="229" t="s">
        <v>41</v>
      </c>
      <c r="K72" s="229" t="s">
        <v>41</v>
      </c>
      <c r="L72" s="70" t="s">
        <v>63</v>
      </c>
      <c r="M72" s="40">
        <v>1</v>
      </c>
      <c r="N72" s="41">
        <f t="shared" si="31"/>
        <v>1</v>
      </c>
      <c r="O72" s="41">
        <f t="shared" ref="O72:O85" si="36">IF(I72&gt;1.25,1.25,I72)</f>
        <v>1</v>
      </c>
      <c r="AC72" s="64">
        <f t="shared" si="9"/>
        <v>1</v>
      </c>
      <c r="AD72" s="64">
        <f t="shared" si="9"/>
        <v>1</v>
      </c>
    </row>
    <row r="73" spans="1:37" ht="146.25" outlineLevel="2" x14ac:dyDescent="0.25">
      <c r="A73" s="236" t="s">
        <v>349</v>
      </c>
      <c r="B73" s="379" t="s">
        <v>1328</v>
      </c>
      <c r="C73" s="127" t="s">
        <v>314</v>
      </c>
      <c r="D73" s="226" t="s">
        <v>298</v>
      </c>
      <c r="E73" s="378">
        <v>0.25</v>
      </c>
      <c r="F73" s="378">
        <v>1.5</v>
      </c>
      <c r="G73" s="378">
        <v>0.28000000000000003</v>
      </c>
      <c r="H73" s="245">
        <f>F73/G73</f>
        <v>5.3571428571428568</v>
      </c>
      <c r="I73" s="245">
        <f>E73/G73</f>
        <v>0.89285714285714279</v>
      </c>
      <c r="J73" s="229" t="s">
        <v>1848</v>
      </c>
      <c r="K73" s="229" t="s">
        <v>41</v>
      </c>
      <c r="L73" s="70" t="s">
        <v>63</v>
      </c>
      <c r="M73" s="40">
        <v>-1</v>
      </c>
      <c r="N73" s="41">
        <f t="shared" si="31"/>
        <v>1</v>
      </c>
      <c r="O73" s="41">
        <f t="shared" si="36"/>
        <v>0.89285714285714279</v>
      </c>
      <c r="AC73" s="64">
        <f t="shared" si="9"/>
        <v>5.3571428571428568</v>
      </c>
      <c r="AD73" s="64">
        <f t="shared" si="9"/>
        <v>0.89285714285714279</v>
      </c>
    </row>
    <row r="74" spans="1:37" ht="67.5" outlineLevel="2" x14ac:dyDescent="0.25">
      <c r="A74" s="236" t="s">
        <v>350</v>
      </c>
      <c r="B74" s="379" t="s">
        <v>1329</v>
      </c>
      <c r="C74" s="127" t="s">
        <v>314</v>
      </c>
      <c r="D74" s="244" t="s">
        <v>312</v>
      </c>
      <c r="E74" s="378">
        <v>96.43</v>
      </c>
      <c r="F74" s="378">
        <v>62.7</v>
      </c>
      <c r="G74" s="378">
        <v>97.96</v>
      </c>
      <c r="H74" s="245">
        <f t="shared" ref="H74:H79" si="37">G74/F74</f>
        <v>1.5623604465709726</v>
      </c>
      <c r="I74" s="245">
        <f t="shared" ref="I74:I79" si="38">G74/E74</f>
        <v>1.0158664316084205</v>
      </c>
      <c r="J74" s="229" t="s">
        <v>1849</v>
      </c>
      <c r="K74" s="229" t="s">
        <v>41</v>
      </c>
      <c r="L74" s="70" t="s">
        <v>63</v>
      </c>
      <c r="M74" s="40">
        <v>1</v>
      </c>
      <c r="N74" s="41">
        <f t="shared" si="31"/>
        <v>1</v>
      </c>
      <c r="O74" s="41">
        <f t="shared" si="36"/>
        <v>1.0158664316084205</v>
      </c>
      <c r="AC74" s="64">
        <f t="shared" si="9"/>
        <v>1.5623604465709726</v>
      </c>
      <c r="AD74" s="64">
        <f t="shared" si="9"/>
        <v>1.0158664316084205</v>
      </c>
    </row>
    <row r="75" spans="1:37" ht="33.75" outlineLevel="2" x14ac:dyDescent="0.25">
      <c r="A75" s="236" t="s">
        <v>698</v>
      </c>
      <c r="B75" s="379" t="s">
        <v>699</v>
      </c>
      <c r="C75" s="127" t="s">
        <v>314</v>
      </c>
      <c r="D75" s="244" t="s">
        <v>312</v>
      </c>
      <c r="E75" s="378">
        <v>79.8</v>
      </c>
      <c r="F75" s="378">
        <v>81.349999999999994</v>
      </c>
      <c r="G75" s="378">
        <v>87.7</v>
      </c>
      <c r="H75" s="245">
        <f t="shared" si="37"/>
        <v>1.0780577750460971</v>
      </c>
      <c r="I75" s="245">
        <f t="shared" si="38"/>
        <v>1.0989974937343359</v>
      </c>
      <c r="J75" s="229" t="s">
        <v>1337</v>
      </c>
      <c r="K75" s="229" t="s">
        <v>41</v>
      </c>
      <c r="L75" s="70" t="s">
        <v>63</v>
      </c>
      <c r="M75" s="40">
        <v>1</v>
      </c>
      <c r="N75" s="41">
        <f t="shared" si="31"/>
        <v>1</v>
      </c>
      <c r="O75" s="41">
        <f t="shared" si="36"/>
        <v>1.0989974937343359</v>
      </c>
      <c r="AC75" s="64">
        <f t="shared" si="9"/>
        <v>1.0780577750460971</v>
      </c>
      <c r="AD75" s="64">
        <f t="shared" si="9"/>
        <v>1.0989974937343359</v>
      </c>
    </row>
    <row r="76" spans="1:37" ht="78.75" outlineLevel="2" x14ac:dyDescent="0.25">
      <c r="A76" s="236" t="s">
        <v>1333</v>
      </c>
      <c r="B76" s="379" t="s">
        <v>1330</v>
      </c>
      <c r="C76" s="127" t="s">
        <v>314</v>
      </c>
      <c r="D76" s="244" t="s">
        <v>312</v>
      </c>
      <c r="E76" s="378">
        <v>54.6</v>
      </c>
      <c r="F76" s="378">
        <v>64</v>
      </c>
      <c r="G76" s="378">
        <v>64.3</v>
      </c>
      <c r="H76" s="245">
        <f>G76/F76</f>
        <v>1.0046875</v>
      </c>
      <c r="I76" s="245">
        <f t="shared" si="38"/>
        <v>1.1776556776556775</v>
      </c>
      <c r="J76" s="229" t="s">
        <v>41</v>
      </c>
      <c r="K76" s="229" t="s">
        <v>41</v>
      </c>
      <c r="L76" s="70" t="s">
        <v>63</v>
      </c>
      <c r="M76" s="40">
        <v>1</v>
      </c>
      <c r="N76" s="41">
        <f t="shared" si="31"/>
        <v>1</v>
      </c>
      <c r="O76" s="41" t="s">
        <v>41</v>
      </c>
      <c r="AC76" s="64">
        <f t="shared" si="9"/>
        <v>1.0046875</v>
      </c>
      <c r="AD76" s="64" t="s">
        <v>41</v>
      </c>
    </row>
    <row r="77" spans="1:37" ht="67.5" outlineLevel="2" x14ac:dyDescent="0.25">
      <c r="A77" s="236" t="s">
        <v>1334</v>
      </c>
      <c r="B77" s="379" t="s">
        <v>1331</v>
      </c>
      <c r="C77" s="378" t="s">
        <v>314</v>
      </c>
      <c r="D77" s="244" t="s">
        <v>312</v>
      </c>
      <c r="E77" s="378">
        <v>100</v>
      </c>
      <c r="F77" s="378">
        <v>100</v>
      </c>
      <c r="G77" s="378">
        <v>100</v>
      </c>
      <c r="H77" s="245">
        <f t="shared" ref="H77:H78" si="39">G77/F77</f>
        <v>1</v>
      </c>
      <c r="I77" s="245">
        <f t="shared" si="38"/>
        <v>1</v>
      </c>
      <c r="J77" s="229" t="s">
        <v>41</v>
      </c>
      <c r="K77" s="229" t="s">
        <v>41</v>
      </c>
      <c r="L77" s="70" t="str">
        <f>L72</f>
        <v>Минобр МО</v>
      </c>
      <c r="M77" s="40">
        <v>1</v>
      </c>
      <c r="N77" s="41">
        <f t="shared" ref="N77:N78" si="40">IF(H77&gt;1,1,H77)</f>
        <v>1</v>
      </c>
      <c r="O77" s="41">
        <f t="shared" si="36"/>
        <v>1</v>
      </c>
      <c r="AC77" s="64">
        <f t="shared" si="9"/>
        <v>1</v>
      </c>
      <c r="AD77" s="64">
        <f t="shared" si="9"/>
        <v>1</v>
      </c>
    </row>
    <row r="78" spans="1:37" ht="22.5" outlineLevel="2" x14ac:dyDescent="0.25">
      <c r="A78" s="236" t="s">
        <v>1335</v>
      </c>
      <c r="B78" s="379" t="s">
        <v>1332</v>
      </c>
      <c r="C78" s="378" t="s">
        <v>314</v>
      </c>
      <c r="D78" s="244" t="s">
        <v>312</v>
      </c>
      <c r="E78" s="378">
        <v>100</v>
      </c>
      <c r="F78" s="378">
        <v>100</v>
      </c>
      <c r="G78" s="378">
        <v>100</v>
      </c>
      <c r="H78" s="245">
        <f t="shared" si="39"/>
        <v>1</v>
      </c>
      <c r="I78" s="245">
        <f t="shared" si="38"/>
        <v>1</v>
      </c>
      <c r="J78" s="229" t="s">
        <v>41</v>
      </c>
      <c r="K78" s="229" t="s">
        <v>41</v>
      </c>
      <c r="L78" s="70" t="str">
        <f>L73</f>
        <v>Минобр МО</v>
      </c>
      <c r="M78" s="40">
        <v>1</v>
      </c>
      <c r="N78" s="41">
        <f t="shared" si="40"/>
        <v>1</v>
      </c>
      <c r="O78" s="41">
        <f t="shared" si="36"/>
        <v>1</v>
      </c>
      <c r="AC78" s="64">
        <f t="shared" si="9"/>
        <v>1</v>
      </c>
      <c r="AD78" s="64">
        <f t="shared" si="9"/>
        <v>1</v>
      </c>
    </row>
    <row r="79" spans="1:37" ht="101.25" outlineLevel="2" x14ac:dyDescent="0.25">
      <c r="A79" s="236" t="s">
        <v>1336</v>
      </c>
      <c r="B79" s="379" t="s">
        <v>712</v>
      </c>
      <c r="C79" s="127" t="s">
        <v>314</v>
      </c>
      <c r="D79" s="244" t="s">
        <v>312</v>
      </c>
      <c r="E79" s="378">
        <v>59.46</v>
      </c>
      <c r="F79" s="378">
        <v>47.3</v>
      </c>
      <c r="G79" s="378">
        <v>55.33</v>
      </c>
      <c r="H79" s="245">
        <f t="shared" si="37"/>
        <v>1.1697674418604651</v>
      </c>
      <c r="I79" s="245">
        <f t="shared" si="38"/>
        <v>0.93054154053144966</v>
      </c>
      <c r="J79" s="229" t="s">
        <v>1850</v>
      </c>
      <c r="K79" s="229" t="s">
        <v>41</v>
      </c>
      <c r="L79" s="70" t="str">
        <f>L74</f>
        <v>Минобр МО</v>
      </c>
      <c r="M79" s="40">
        <v>1</v>
      </c>
      <c r="N79" s="41">
        <f t="shared" si="31"/>
        <v>1</v>
      </c>
      <c r="O79" s="41">
        <f t="shared" si="36"/>
        <v>0.93054154053144966</v>
      </c>
      <c r="AC79" s="64">
        <f t="shared" si="9"/>
        <v>1.1697674418604651</v>
      </c>
      <c r="AD79" s="64">
        <f t="shared" si="9"/>
        <v>0.93054154053144966</v>
      </c>
    </row>
    <row r="80" spans="1:37" ht="22.5" outlineLevel="2" x14ac:dyDescent="0.25">
      <c r="A80" s="236" t="s">
        <v>1845</v>
      </c>
      <c r="B80" s="379" t="s">
        <v>1846</v>
      </c>
      <c r="C80" s="446" t="s">
        <v>1847</v>
      </c>
      <c r="D80" s="244" t="s">
        <v>312</v>
      </c>
      <c r="E80" s="446" t="s">
        <v>41</v>
      </c>
      <c r="F80" s="446">
        <v>750</v>
      </c>
      <c r="G80" s="446">
        <v>750</v>
      </c>
      <c r="H80" s="245">
        <f t="shared" ref="H80" si="41">G80/F80</f>
        <v>1</v>
      </c>
      <c r="I80" s="245" t="s">
        <v>41</v>
      </c>
      <c r="J80" s="229" t="s">
        <v>41</v>
      </c>
      <c r="K80" s="229" t="s">
        <v>41</v>
      </c>
      <c r="L80" s="70" t="s">
        <v>79</v>
      </c>
      <c r="M80" s="40">
        <v>1</v>
      </c>
      <c r="N80" s="41">
        <f t="shared" ref="N80" si="42">IF(H80&gt;1,1,H80)</f>
        <v>1</v>
      </c>
      <c r="O80" s="41" t="s">
        <v>41</v>
      </c>
      <c r="AC80" s="64">
        <f t="shared" si="9"/>
        <v>1</v>
      </c>
      <c r="AD80" s="440" t="s">
        <v>41</v>
      </c>
    </row>
    <row r="81" spans="1:37" s="45" customFormat="1" outlineLevel="1" x14ac:dyDescent="0.25">
      <c r="A81" s="65" t="s">
        <v>87</v>
      </c>
      <c r="B81" s="619" t="s">
        <v>351</v>
      </c>
      <c r="C81" s="619"/>
      <c r="D81" s="619"/>
      <c r="E81" s="619"/>
      <c r="F81" s="619"/>
      <c r="G81" s="619"/>
      <c r="H81" s="66">
        <f>AVERAGE(N82:N90)</f>
        <v>1</v>
      </c>
      <c r="I81" s="66">
        <f>AVERAGE(O82:O90)</f>
        <v>0.94528789260692814</v>
      </c>
      <c r="J81" s="67"/>
      <c r="K81" s="67"/>
      <c r="L81" s="68"/>
      <c r="M81" s="61"/>
      <c r="N81" s="49"/>
      <c r="O81" s="41"/>
      <c r="P81" s="47"/>
      <c r="Q81" s="47"/>
      <c r="R81" s="98">
        <f>COUNTA(C82:C90)</f>
        <v>9</v>
      </c>
      <c r="S81" s="97">
        <v>0</v>
      </c>
      <c r="T81" s="98">
        <f>COUNTIFS(AC82:AC90,"&gt;1,50")</f>
        <v>1</v>
      </c>
      <c r="U81" s="98">
        <f>COUNTIFS(AC82:AC90,"&gt;=0,995",AC82:AC90,"&lt;=1,5")</f>
        <v>8</v>
      </c>
      <c r="V81" s="98">
        <f>COUNTIFS(AC82:AC90,"&gt;=0,85",AC82:AC90,"&lt;0,995")</f>
        <v>0</v>
      </c>
      <c r="W81" s="98">
        <f>COUNTIFS(AC82:AC90,"&lt;0,85")</f>
        <v>0</v>
      </c>
      <c r="X81" s="50"/>
      <c r="Z81" s="90">
        <f>COUNTIFS(AD82:AD90,"&gt;=1,01")</f>
        <v>4</v>
      </c>
      <c r="AA81" s="90">
        <f>COUNTIFS(AD82:AD90,"&gt;=0,99",AD82:AD90,"&lt;1,01")</f>
        <v>0</v>
      </c>
      <c r="AB81" s="91">
        <f>COUNTIFS(AD82:AD90,"&lt;0,99")</f>
        <v>2</v>
      </c>
      <c r="AC81" s="64"/>
      <c r="AD81" s="64"/>
      <c r="AK81" s="45">
        <f>SUM(T81:X81)-R81</f>
        <v>0</v>
      </c>
    </row>
    <row r="82" spans="1:37" ht="78.75" outlineLevel="2" x14ac:dyDescent="0.25">
      <c r="A82" s="236" t="s">
        <v>88</v>
      </c>
      <c r="B82" s="385" t="s">
        <v>700</v>
      </c>
      <c r="C82" s="127" t="s">
        <v>320</v>
      </c>
      <c r="D82" s="244" t="s">
        <v>312</v>
      </c>
      <c r="E82" s="378">
        <v>19.45</v>
      </c>
      <c r="F82" s="378">
        <v>14.8</v>
      </c>
      <c r="G82" s="378">
        <v>20.61</v>
      </c>
      <c r="H82" s="245">
        <f t="shared" ref="H82:H90" si="43">G82/F82</f>
        <v>1.3925675675675675</v>
      </c>
      <c r="I82" s="245">
        <f t="shared" ref="I82:I88" si="44">G82/E82</f>
        <v>1.0596401028277636</v>
      </c>
      <c r="J82" s="229" t="s">
        <v>1855</v>
      </c>
      <c r="K82" s="229" t="s">
        <v>41</v>
      </c>
      <c r="L82" s="70" t="s">
        <v>63</v>
      </c>
      <c r="M82" s="40">
        <v>1</v>
      </c>
      <c r="N82" s="41">
        <f>IF(H82&gt;1,1,H82)</f>
        <v>1</v>
      </c>
      <c r="O82" s="41">
        <f t="shared" si="36"/>
        <v>1.0596401028277636</v>
      </c>
      <c r="AC82" s="64">
        <f t="shared" ref="AC82:AD147" si="45">H82</f>
        <v>1.3925675675675675</v>
      </c>
      <c r="AD82" s="64">
        <f t="shared" si="45"/>
        <v>1.0596401028277636</v>
      </c>
    </row>
    <row r="83" spans="1:37" ht="78.75" outlineLevel="2" x14ac:dyDescent="0.25">
      <c r="A83" s="236" t="s">
        <v>89</v>
      </c>
      <c r="B83" s="225" t="s">
        <v>701</v>
      </c>
      <c r="C83" s="127" t="s">
        <v>314</v>
      </c>
      <c r="D83" s="244" t="s">
        <v>312</v>
      </c>
      <c r="E83" s="378">
        <v>100.5</v>
      </c>
      <c r="F83" s="378">
        <v>100</v>
      </c>
      <c r="G83" s="378">
        <v>101.72</v>
      </c>
      <c r="H83" s="245">
        <f t="shared" si="43"/>
        <v>1.0171999999999999</v>
      </c>
      <c r="I83" s="245">
        <f t="shared" si="44"/>
        <v>1.012139303482587</v>
      </c>
      <c r="J83" s="229" t="s">
        <v>1856</v>
      </c>
      <c r="K83" s="229" t="s">
        <v>41</v>
      </c>
      <c r="L83" s="70" t="s">
        <v>63</v>
      </c>
      <c r="M83" s="40">
        <v>0</v>
      </c>
      <c r="N83" s="41">
        <f t="shared" ref="N83:N147" si="46">IF(H83&gt;1,1,H83)</f>
        <v>1</v>
      </c>
      <c r="O83" s="41">
        <f t="shared" si="36"/>
        <v>1.012139303482587</v>
      </c>
      <c r="AC83" s="64">
        <f t="shared" si="45"/>
        <v>1.0171999999999999</v>
      </c>
      <c r="AD83" s="64" t="s">
        <v>41</v>
      </c>
    </row>
    <row r="84" spans="1:37" ht="78.75" outlineLevel="2" x14ac:dyDescent="0.25">
      <c r="A84" s="236" t="s">
        <v>90</v>
      </c>
      <c r="B84" s="225" t="s">
        <v>1851</v>
      </c>
      <c r="C84" s="127" t="s">
        <v>314</v>
      </c>
      <c r="D84" s="184" t="s">
        <v>312</v>
      </c>
      <c r="E84" s="378">
        <v>113</v>
      </c>
      <c r="F84" s="378">
        <v>115</v>
      </c>
      <c r="G84" s="378">
        <v>115</v>
      </c>
      <c r="H84" s="245">
        <f t="shared" si="43"/>
        <v>1</v>
      </c>
      <c r="I84" s="245">
        <f t="shared" si="44"/>
        <v>1.0176991150442478</v>
      </c>
      <c r="J84" s="229" t="s">
        <v>41</v>
      </c>
      <c r="K84" s="229" t="s">
        <v>41</v>
      </c>
      <c r="L84" s="70" t="s">
        <v>63</v>
      </c>
      <c r="M84" s="40">
        <v>1</v>
      </c>
      <c r="N84" s="41">
        <f t="shared" si="46"/>
        <v>1</v>
      </c>
      <c r="O84" s="41">
        <f t="shared" si="36"/>
        <v>1.0176991150442478</v>
      </c>
      <c r="AC84" s="64">
        <f t="shared" si="45"/>
        <v>1</v>
      </c>
      <c r="AD84" s="64">
        <f t="shared" si="45"/>
        <v>1.0176991150442478</v>
      </c>
    </row>
    <row r="85" spans="1:37" ht="98.25" customHeight="1" outlineLevel="2" x14ac:dyDescent="0.25">
      <c r="A85" s="236" t="s">
        <v>91</v>
      </c>
      <c r="B85" s="225" t="s">
        <v>1852</v>
      </c>
      <c r="C85" s="127" t="s">
        <v>314</v>
      </c>
      <c r="D85" s="226" t="s">
        <v>298</v>
      </c>
      <c r="E85" s="378">
        <v>0.85</v>
      </c>
      <c r="F85" s="378">
        <v>7</v>
      </c>
      <c r="G85" s="378">
        <v>0.89</v>
      </c>
      <c r="H85" s="249">
        <f>F85/G85</f>
        <v>7.8651685393258424</v>
      </c>
      <c r="I85" s="245">
        <f>E85/G85</f>
        <v>0.9550561797752809</v>
      </c>
      <c r="J85" s="455" t="s">
        <v>1950</v>
      </c>
      <c r="K85" s="229" t="s">
        <v>41</v>
      </c>
      <c r="L85" s="70" t="s">
        <v>63</v>
      </c>
      <c r="M85" s="40">
        <v>-1</v>
      </c>
      <c r="N85" s="41">
        <f t="shared" si="46"/>
        <v>1</v>
      </c>
      <c r="O85" s="41">
        <f t="shared" si="36"/>
        <v>0.9550561797752809</v>
      </c>
      <c r="AC85" s="64">
        <f t="shared" si="45"/>
        <v>7.8651685393258424</v>
      </c>
      <c r="AD85" s="64">
        <f t="shared" si="45"/>
        <v>0.9550561797752809</v>
      </c>
    </row>
    <row r="86" spans="1:37" ht="33.75" outlineLevel="2" x14ac:dyDescent="0.25">
      <c r="A86" s="236" t="s">
        <v>92</v>
      </c>
      <c r="B86" s="225" t="s">
        <v>1853</v>
      </c>
      <c r="C86" s="127" t="s">
        <v>395</v>
      </c>
      <c r="D86" s="184" t="s">
        <v>312</v>
      </c>
      <c r="E86" s="378">
        <v>67</v>
      </c>
      <c r="F86" s="378">
        <v>108</v>
      </c>
      <c r="G86" s="378">
        <v>109</v>
      </c>
      <c r="H86" s="245">
        <f t="shared" si="43"/>
        <v>1.0092592592592593</v>
      </c>
      <c r="I86" s="245">
        <f t="shared" si="44"/>
        <v>1.6268656716417911</v>
      </c>
      <c r="J86" s="229" t="s">
        <v>1857</v>
      </c>
      <c r="K86" s="229" t="s">
        <v>41</v>
      </c>
      <c r="L86" s="70" t="s">
        <v>63</v>
      </c>
      <c r="M86" s="40">
        <v>1</v>
      </c>
      <c r="N86" s="41">
        <f t="shared" si="46"/>
        <v>1</v>
      </c>
      <c r="O86" s="41" t="s">
        <v>41</v>
      </c>
      <c r="AC86" s="64">
        <f t="shared" si="45"/>
        <v>1.0092592592592593</v>
      </c>
      <c r="AD86" s="64">
        <f t="shared" si="45"/>
        <v>1.6268656716417911</v>
      </c>
    </row>
    <row r="87" spans="1:37" ht="45" outlineLevel="2" x14ac:dyDescent="0.25">
      <c r="A87" s="236" t="s">
        <v>1121</v>
      </c>
      <c r="B87" s="225" t="s">
        <v>1854</v>
      </c>
      <c r="C87" s="127" t="s">
        <v>320</v>
      </c>
      <c r="D87" s="184" t="s">
        <v>312</v>
      </c>
      <c r="E87" s="378">
        <v>22943</v>
      </c>
      <c r="F87" s="378">
        <v>32000</v>
      </c>
      <c r="G87" s="378">
        <v>33331</v>
      </c>
      <c r="H87" s="245">
        <f t="shared" si="43"/>
        <v>1.0415937500000001</v>
      </c>
      <c r="I87" s="245">
        <f t="shared" si="44"/>
        <v>1.4527742666608552</v>
      </c>
      <c r="J87" s="229" t="s">
        <v>1858</v>
      </c>
      <c r="K87" s="229" t="s">
        <v>41</v>
      </c>
      <c r="L87" s="70" t="s">
        <v>63</v>
      </c>
      <c r="M87" s="40">
        <v>1</v>
      </c>
      <c r="N87" s="41">
        <f t="shared" si="46"/>
        <v>1</v>
      </c>
      <c r="O87" s="41" t="s">
        <v>41</v>
      </c>
      <c r="AC87" s="64">
        <f t="shared" si="45"/>
        <v>1.0415937500000001</v>
      </c>
      <c r="AD87" s="64">
        <f t="shared" si="45"/>
        <v>1.4527742666608552</v>
      </c>
    </row>
    <row r="88" spans="1:37" ht="78.75" outlineLevel="2" x14ac:dyDescent="0.25">
      <c r="A88" s="236" t="s">
        <v>93</v>
      </c>
      <c r="B88" s="379" t="s">
        <v>702</v>
      </c>
      <c r="C88" s="127" t="s">
        <v>395</v>
      </c>
      <c r="D88" s="238" t="s">
        <v>331</v>
      </c>
      <c r="E88" s="378">
        <v>5</v>
      </c>
      <c r="F88" s="378">
        <v>5</v>
      </c>
      <c r="G88" s="378">
        <v>5</v>
      </c>
      <c r="H88" s="245">
        <f t="shared" si="43"/>
        <v>1</v>
      </c>
      <c r="I88" s="245">
        <f t="shared" si="44"/>
        <v>1</v>
      </c>
      <c r="J88" s="229" t="s">
        <v>41</v>
      </c>
      <c r="K88" s="229" t="s">
        <v>41</v>
      </c>
      <c r="L88" s="70" t="s">
        <v>63</v>
      </c>
      <c r="M88" s="40">
        <v>0</v>
      </c>
      <c r="N88" s="41">
        <f t="shared" si="46"/>
        <v>1</v>
      </c>
      <c r="O88" s="41" t="s">
        <v>41</v>
      </c>
      <c r="AC88" s="64">
        <f t="shared" si="45"/>
        <v>1</v>
      </c>
      <c r="AD88" s="64" t="s">
        <v>41</v>
      </c>
    </row>
    <row r="89" spans="1:37" ht="90" outlineLevel="2" x14ac:dyDescent="0.25">
      <c r="A89" s="236" t="s">
        <v>94</v>
      </c>
      <c r="B89" s="379" t="s">
        <v>1341</v>
      </c>
      <c r="C89" s="378" t="s">
        <v>314</v>
      </c>
      <c r="D89" s="244" t="s">
        <v>312</v>
      </c>
      <c r="E89" s="378">
        <v>95</v>
      </c>
      <c r="F89" s="378">
        <v>92</v>
      </c>
      <c r="G89" s="378">
        <v>96.2</v>
      </c>
      <c r="H89" s="245">
        <f t="shared" ref="H89" si="47">G89/F89</f>
        <v>1.0456521739130435</v>
      </c>
      <c r="I89" s="245">
        <f t="shared" ref="I89:I90" si="48">G89/E89</f>
        <v>1.0126315789473685</v>
      </c>
      <c r="J89" s="229" t="s">
        <v>1340</v>
      </c>
      <c r="K89" s="229" t="s">
        <v>41</v>
      </c>
      <c r="L89" s="70" t="s">
        <v>63</v>
      </c>
      <c r="M89" s="40">
        <v>1</v>
      </c>
      <c r="N89" s="41">
        <f t="shared" ref="N89" si="49">IF(H89&gt;1,1,H89)</f>
        <v>1</v>
      </c>
      <c r="O89" s="41" t="s">
        <v>41</v>
      </c>
      <c r="AC89" s="64">
        <f t="shared" si="45"/>
        <v>1.0456521739130435</v>
      </c>
      <c r="AD89" s="64" t="s">
        <v>41</v>
      </c>
    </row>
    <row r="90" spans="1:37" ht="78.75" outlineLevel="2" x14ac:dyDescent="0.25">
      <c r="A90" s="236" t="s">
        <v>1338</v>
      </c>
      <c r="B90" s="379" t="s">
        <v>1339</v>
      </c>
      <c r="C90" s="127" t="s">
        <v>314</v>
      </c>
      <c r="D90" s="244" t="s">
        <v>312</v>
      </c>
      <c r="E90" s="378">
        <v>52.5</v>
      </c>
      <c r="F90" s="378">
        <v>25</v>
      </c>
      <c r="G90" s="378">
        <v>35.799999999999997</v>
      </c>
      <c r="H90" s="245">
        <f t="shared" si="43"/>
        <v>1.4319999999999999</v>
      </c>
      <c r="I90" s="245">
        <f t="shared" si="48"/>
        <v>0.6819047619047619</v>
      </c>
      <c r="J90" s="229" t="s">
        <v>1859</v>
      </c>
      <c r="K90" s="229" t="s">
        <v>41</v>
      </c>
      <c r="L90" s="70" t="s">
        <v>63</v>
      </c>
      <c r="M90" s="40">
        <v>1</v>
      </c>
      <c r="N90" s="41">
        <f t="shared" si="46"/>
        <v>1</v>
      </c>
      <c r="O90" s="41">
        <f t="shared" ref="O90" si="50">IF(I90&gt;1.25,1.25,I90)</f>
        <v>0.6819047619047619</v>
      </c>
      <c r="AC90" s="64">
        <f t="shared" si="45"/>
        <v>1.4319999999999999</v>
      </c>
      <c r="AD90" s="64">
        <f t="shared" si="45"/>
        <v>0.6819047619047619</v>
      </c>
    </row>
    <row r="91" spans="1:37" s="45" customFormat="1" ht="11.25" customHeight="1" outlineLevel="1" x14ac:dyDescent="0.25">
      <c r="A91" s="65" t="s">
        <v>95</v>
      </c>
      <c r="B91" s="621" t="s">
        <v>703</v>
      </c>
      <c r="C91" s="622"/>
      <c r="D91" s="622"/>
      <c r="E91" s="622"/>
      <c r="F91" s="622"/>
      <c r="G91" s="623"/>
      <c r="H91" s="66">
        <f>AVERAGE(N92:N99)</f>
        <v>0.99354999999999993</v>
      </c>
      <c r="I91" s="66">
        <f>AVERAGE(O92:O99)</f>
        <v>1.0785170772092734</v>
      </c>
      <c r="J91" s="67"/>
      <c r="K91" s="67"/>
      <c r="L91" s="68"/>
      <c r="M91" s="61"/>
      <c r="N91" s="41"/>
      <c r="O91" s="41"/>
      <c r="P91" s="47"/>
      <c r="Q91" s="47"/>
      <c r="R91" s="98">
        <f>COUNTA(C92:C99)</f>
        <v>8</v>
      </c>
      <c r="S91" s="97">
        <v>0</v>
      </c>
      <c r="T91" s="98">
        <f>COUNTIFS(AC92:AC99,"&gt;1,50")</f>
        <v>0</v>
      </c>
      <c r="U91" s="98">
        <f>COUNTIFS(AC92:AC99,"&gt;=0,995",AC92:AC99,"&lt;=1,5")</f>
        <v>6</v>
      </c>
      <c r="V91" s="98">
        <f>COUNTIFS(AC92:AC99,"&gt;=0,85",AC92:AC99,"&lt;0,995")</f>
        <v>2</v>
      </c>
      <c r="W91" s="98">
        <f>COUNTIFS(AC92:AC99,"&lt;0,85")</f>
        <v>0</v>
      </c>
      <c r="X91" s="50"/>
      <c r="Z91" s="90">
        <f>COUNTIFS(AD92:AD99,"&gt;=1,01")</f>
        <v>3</v>
      </c>
      <c r="AA91" s="90">
        <f>COUNTIFS(AD92:AD99,"&gt;=0,99",AD92:AD99,"&lt;1,01")</f>
        <v>1</v>
      </c>
      <c r="AB91" s="91">
        <f>COUNTIFS(AD92:AD99,"&lt;0,99")</f>
        <v>1</v>
      </c>
      <c r="AC91" s="64"/>
      <c r="AD91" s="64"/>
      <c r="AK91" s="45">
        <f>SUM(T91:X91)-R91</f>
        <v>0</v>
      </c>
    </row>
    <row r="92" spans="1:37" ht="90" outlineLevel="2" x14ac:dyDescent="0.25">
      <c r="A92" s="236" t="s">
        <v>96</v>
      </c>
      <c r="B92" s="218" t="s">
        <v>704</v>
      </c>
      <c r="C92" s="153" t="s">
        <v>314</v>
      </c>
      <c r="D92" s="244" t="s">
        <v>312</v>
      </c>
      <c r="E92" s="378">
        <v>100.2</v>
      </c>
      <c r="F92" s="378">
        <v>100</v>
      </c>
      <c r="G92" s="378">
        <v>96.8</v>
      </c>
      <c r="H92" s="247">
        <f t="shared" ref="H92:H98" si="51">G92/F92</f>
        <v>0.96799999999999997</v>
      </c>
      <c r="I92" s="247">
        <f t="shared" ref="I92:I96" si="52">G92/E92</f>
        <v>0.96606786427145708</v>
      </c>
      <c r="J92" s="246" t="s">
        <v>1862</v>
      </c>
      <c r="K92" s="246" t="s">
        <v>1863</v>
      </c>
      <c r="L92" s="70" t="s">
        <v>63</v>
      </c>
      <c r="M92" s="40">
        <v>1</v>
      </c>
      <c r="N92" s="41">
        <f t="shared" si="46"/>
        <v>0.96799999999999997</v>
      </c>
      <c r="O92" s="41">
        <f t="shared" ref="O92:O108" si="53">IF(I92&gt;1.25,1.25,I92)</f>
        <v>0.96606786427145708</v>
      </c>
      <c r="AC92" s="64">
        <f t="shared" si="45"/>
        <v>0.96799999999999997</v>
      </c>
      <c r="AD92" s="64">
        <f t="shared" si="45"/>
        <v>0.96606786427145708</v>
      </c>
    </row>
    <row r="93" spans="1:37" ht="33.75" outlineLevel="2" x14ac:dyDescent="0.25">
      <c r="A93" s="236" t="s">
        <v>352</v>
      </c>
      <c r="B93" s="225" t="s">
        <v>705</v>
      </c>
      <c r="C93" s="153" t="s">
        <v>314</v>
      </c>
      <c r="D93" s="244" t="s">
        <v>312</v>
      </c>
      <c r="E93" s="378">
        <v>50</v>
      </c>
      <c r="F93" s="378">
        <v>70</v>
      </c>
      <c r="G93" s="378">
        <v>70</v>
      </c>
      <c r="H93" s="247">
        <f t="shared" si="51"/>
        <v>1</v>
      </c>
      <c r="I93" s="247">
        <f t="shared" si="52"/>
        <v>1.4</v>
      </c>
      <c r="J93" s="246" t="s">
        <v>41</v>
      </c>
      <c r="K93" s="246" t="s">
        <v>41</v>
      </c>
      <c r="L93" s="70" t="s">
        <v>63</v>
      </c>
      <c r="M93" s="40">
        <v>1</v>
      </c>
      <c r="N93" s="41">
        <f t="shared" si="46"/>
        <v>1</v>
      </c>
      <c r="O93" s="41">
        <f t="shared" si="53"/>
        <v>1.25</v>
      </c>
      <c r="AC93" s="64">
        <f t="shared" si="45"/>
        <v>1</v>
      </c>
      <c r="AD93" s="64">
        <f t="shared" si="45"/>
        <v>1.4</v>
      </c>
    </row>
    <row r="94" spans="1:37" ht="56.25" outlineLevel="2" x14ac:dyDescent="0.25">
      <c r="A94" s="236" t="s">
        <v>97</v>
      </c>
      <c r="B94" s="225" t="s">
        <v>706</v>
      </c>
      <c r="C94" s="153" t="s">
        <v>314</v>
      </c>
      <c r="D94" s="244" t="s">
        <v>312</v>
      </c>
      <c r="E94" s="378">
        <v>80</v>
      </c>
      <c r="F94" s="378">
        <v>90</v>
      </c>
      <c r="G94" s="378">
        <v>90</v>
      </c>
      <c r="H94" s="247">
        <f t="shared" si="51"/>
        <v>1</v>
      </c>
      <c r="I94" s="247">
        <f t="shared" si="52"/>
        <v>1.125</v>
      </c>
      <c r="J94" s="246" t="s">
        <v>41</v>
      </c>
      <c r="K94" s="246" t="s">
        <v>41</v>
      </c>
      <c r="L94" s="70" t="s">
        <v>63</v>
      </c>
      <c r="M94" s="40">
        <v>1</v>
      </c>
      <c r="N94" s="41">
        <f t="shared" si="46"/>
        <v>1</v>
      </c>
      <c r="O94" s="41">
        <f t="shared" si="53"/>
        <v>1.125</v>
      </c>
      <c r="AC94" s="64">
        <f t="shared" si="45"/>
        <v>1</v>
      </c>
      <c r="AD94" s="64">
        <f t="shared" si="45"/>
        <v>1.125</v>
      </c>
    </row>
    <row r="95" spans="1:37" ht="78.75" outlineLevel="2" x14ac:dyDescent="0.25">
      <c r="A95" s="236" t="s">
        <v>98</v>
      </c>
      <c r="B95" s="225" t="s">
        <v>707</v>
      </c>
      <c r="C95" s="153" t="s">
        <v>314</v>
      </c>
      <c r="D95" s="244" t="s">
        <v>312</v>
      </c>
      <c r="E95" s="378">
        <v>98.8</v>
      </c>
      <c r="F95" s="378">
        <v>100</v>
      </c>
      <c r="G95" s="378">
        <v>98.04</v>
      </c>
      <c r="H95" s="247">
        <f t="shared" si="51"/>
        <v>0.98040000000000005</v>
      </c>
      <c r="I95" s="247">
        <f t="shared" si="52"/>
        <v>0.99230769230769245</v>
      </c>
      <c r="J95" s="246" t="s">
        <v>1862</v>
      </c>
      <c r="K95" s="246" t="s">
        <v>1863</v>
      </c>
      <c r="L95" s="70" t="s">
        <v>63</v>
      </c>
      <c r="M95" s="40">
        <v>1</v>
      </c>
      <c r="N95" s="41">
        <f t="shared" si="46"/>
        <v>0.98040000000000005</v>
      </c>
      <c r="O95" s="41">
        <f t="shared" si="53"/>
        <v>0.99230769230769245</v>
      </c>
      <c r="AC95" s="64">
        <f t="shared" si="45"/>
        <v>0.98040000000000005</v>
      </c>
      <c r="AD95" s="64">
        <f t="shared" si="45"/>
        <v>0.99230769230769245</v>
      </c>
    </row>
    <row r="96" spans="1:37" ht="45" outlineLevel="2" x14ac:dyDescent="0.25">
      <c r="A96" s="236" t="s">
        <v>1342</v>
      </c>
      <c r="B96" s="379" t="s">
        <v>1345</v>
      </c>
      <c r="C96" s="153" t="s">
        <v>314</v>
      </c>
      <c r="D96" s="244" t="s">
        <v>312</v>
      </c>
      <c r="E96" s="378">
        <v>94.41</v>
      </c>
      <c r="F96" s="378">
        <v>100</v>
      </c>
      <c r="G96" s="378">
        <v>100</v>
      </c>
      <c r="H96" s="247">
        <f t="shared" ref="H96:H97" si="54">G96/F96</f>
        <v>1</v>
      </c>
      <c r="I96" s="247">
        <f t="shared" si="52"/>
        <v>1.0592098294672174</v>
      </c>
      <c r="J96" s="246" t="s">
        <v>41</v>
      </c>
      <c r="K96" s="246" t="s">
        <v>41</v>
      </c>
      <c r="L96" s="70" t="s">
        <v>63</v>
      </c>
      <c r="M96" s="40">
        <v>1</v>
      </c>
      <c r="N96" s="41">
        <f t="shared" ref="N96:N97" si="55">IF(H96&gt;1,1,H96)</f>
        <v>1</v>
      </c>
      <c r="O96" s="41">
        <f t="shared" si="53"/>
        <v>1.0592098294672174</v>
      </c>
      <c r="AC96" s="64">
        <f t="shared" si="45"/>
        <v>1</v>
      </c>
      <c r="AD96" s="64">
        <f t="shared" si="45"/>
        <v>1.0592098294672174</v>
      </c>
    </row>
    <row r="97" spans="1:37" ht="78.75" outlineLevel="2" x14ac:dyDescent="0.25">
      <c r="A97" s="236" t="s">
        <v>1343</v>
      </c>
      <c r="B97" s="379" t="s">
        <v>1346</v>
      </c>
      <c r="C97" s="153" t="s">
        <v>843</v>
      </c>
      <c r="D97" s="244" t="s">
        <v>312</v>
      </c>
      <c r="E97" s="378">
        <v>9</v>
      </c>
      <c r="F97" s="378">
        <v>25</v>
      </c>
      <c r="G97" s="378">
        <v>25</v>
      </c>
      <c r="H97" s="247">
        <f t="shared" si="54"/>
        <v>1</v>
      </c>
      <c r="I97" s="247" t="s">
        <v>41</v>
      </c>
      <c r="J97" s="246" t="s">
        <v>41</v>
      </c>
      <c r="K97" s="246" t="s">
        <v>41</v>
      </c>
      <c r="L97" s="70" t="s">
        <v>63</v>
      </c>
      <c r="M97" s="40">
        <v>1</v>
      </c>
      <c r="N97" s="41">
        <f t="shared" si="55"/>
        <v>1</v>
      </c>
      <c r="O97" s="41" t="s">
        <v>41</v>
      </c>
      <c r="AC97" s="64">
        <f t="shared" si="45"/>
        <v>1</v>
      </c>
      <c r="AD97" s="64" t="str">
        <f t="shared" si="45"/>
        <v>-</v>
      </c>
    </row>
    <row r="98" spans="1:37" ht="56.25" outlineLevel="2" x14ac:dyDescent="0.25">
      <c r="A98" s="236" t="s">
        <v>1344</v>
      </c>
      <c r="B98" s="379" t="s">
        <v>1347</v>
      </c>
      <c r="C98" s="153" t="s">
        <v>843</v>
      </c>
      <c r="D98" s="244" t="s">
        <v>312</v>
      </c>
      <c r="E98" s="378">
        <v>20</v>
      </c>
      <c r="F98" s="378">
        <v>24</v>
      </c>
      <c r="G98" s="378">
        <v>24</v>
      </c>
      <c r="H98" s="247">
        <f t="shared" si="51"/>
        <v>1</v>
      </c>
      <c r="I98" s="247" t="s">
        <v>41</v>
      </c>
      <c r="J98" s="246" t="s">
        <v>41</v>
      </c>
      <c r="K98" s="246" t="s">
        <v>41</v>
      </c>
      <c r="L98" s="70" t="s">
        <v>63</v>
      </c>
      <c r="M98" s="40">
        <v>1</v>
      </c>
      <c r="N98" s="41">
        <f t="shared" si="46"/>
        <v>1</v>
      </c>
      <c r="O98" s="41" t="s">
        <v>41</v>
      </c>
      <c r="AC98" s="64">
        <f t="shared" si="45"/>
        <v>1</v>
      </c>
      <c r="AD98" s="64" t="s">
        <v>41</v>
      </c>
    </row>
    <row r="99" spans="1:37" ht="78.75" outlineLevel="2" x14ac:dyDescent="0.25">
      <c r="A99" s="236" t="s">
        <v>1860</v>
      </c>
      <c r="B99" s="379" t="s">
        <v>1861</v>
      </c>
      <c r="C99" s="153" t="s">
        <v>843</v>
      </c>
      <c r="D99" s="244" t="s">
        <v>312</v>
      </c>
      <c r="E99" s="446" t="s">
        <v>177</v>
      </c>
      <c r="F99" s="446">
        <v>6</v>
      </c>
      <c r="G99" s="446">
        <v>6</v>
      </c>
      <c r="H99" s="247">
        <f t="shared" ref="H99" si="56">G99/F99</f>
        <v>1</v>
      </c>
      <c r="I99" s="247" t="s">
        <v>41</v>
      </c>
      <c r="J99" s="246" t="s">
        <v>41</v>
      </c>
      <c r="K99" s="246" t="s">
        <v>41</v>
      </c>
      <c r="L99" s="70" t="s">
        <v>63</v>
      </c>
      <c r="M99" s="40">
        <v>1</v>
      </c>
      <c r="N99" s="41">
        <f t="shared" ref="N99" si="57">IF(H99&gt;1,1,H99)</f>
        <v>1</v>
      </c>
      <c r="O99" s="41" t="s">
        <v>41</v>
      </c>
      <c r="AC99" s="64">
        <f t="shared" si="45"/>
        <v>1</v>
      </c>
      <c r="AD99" s="440" t="s">
        <v>41</v>
      </c>
    </row>
    <row r="100" spans="1:37" s="45" customFormat="1" outlineLevel="1" x14ac:dyDescent="0.25">
      <c r="A100" s="65" t="s">
        <v>99</v>
      </c>
      <c r="B100" s="621" t="s">
        <v>708</v>
      </c>
      <c r="C100" s="622"/>
      <c r="D100" s="622"/>
      <c r="E100" s="622"/>
      <c r="F100" s="622"/>
      <c r="G100" s="623"/>
      <c r="H100" s="66">
        <f>AVERAGE(N101:N108)</f>
        <v>0.98978086419753086</v>
      </c>
      <c r="I100" s="66">
        <f>AVERAGE(O101:O108)</f>
        <v>1.0510028143256867</v>
      </c>
      <c r="J100" s="67"/>
      <c r="K100" s="67"/>
      <c r="L100" s="68"/>
      <c r="M100" s="61"/>
      <c r="N100" s="41"/>
      <c r="O100" s="41"/>
      <c r="P100" s="47"/>
      <c r="Q100" s="47"/>
      <c r="R100" s="98">
        <f>COUNTA(C101:C108)</f>
        <v>8</v>
      </c>
      <c r="S100" s="97">
        <v>0</v>
      </c>
      <c r="T100" s="98">
        <f>COUNTIFS(AC101:AC108,"&gt;1,50")</f>
        <v>1</v>
      </c>
      <c r="U100" s="98">
        <f>COUNTIFS(AC101:AC108,"&gt;=0,995",AC101:AC108,"&lt;=1,5")</f>
        <v>5</v>
      </c>
      <c r="V100" s="98">
        <f>COUNTIFS(AC101:AC108,"&gt;=0,85",AC101:AC108,"&lt;0,995")</f>
        <v>2</v>
      </c>
      <c r="W100" s="98">
        <f>COUNTIFS(AC101:AC108,"&lt;0,85")</f>
        <v>0</v>
      </c>
      <c r="X100" s="50"/>
      <c r="Z100" s="90">
        <f>COUNTIFS(AD101:AD108,"&gt;=1,01")</f>
        <v>5</v>
      </c>
      <c r="AA100" s="90">
        <f>COUNTIFS(AD101:AD108,"&gt;=0,99",AD101:AD108,"&lt;1,01")</f>
        <v>1</v>
      </c>
      <c r="AB100" s="91">
        <f>COUNTIFS(AD101:AD108,"&lt;0,99")</f>
        <v>1</v>
      </c>
      <c r="AC100" s="64"/>
      <c r="AD100" s="64"/>
      <c r="AK100" s="45">
        <f>SUM(T100:X100)-R100</f>
        <v>0</v>
      </c>
    </row>
    <row r="101" spans="1:37" ht="102" customHeight="1" outlineLevel="2" x14ac:dyDescent="0.25">
      <c r="A101" s="236" t="s">
        <v>100</v>
      </c>
      <c r="B101" s="379" t="s">
        <v>709</v>
      </c>
      <c r="C101" s="153" t="s">
        <v>314</v>
      </c>
      <c r="D101" s="244" t="s">
        <v>312</v>
      </c>
      <c r="E101" s="378">
        <v>7.6</v>
      </c>
      <c r="F101" s="378">
        <v>6.5</v>
      </c>
      <c r="G101" s="378">
        <v>9.61</v>
      </c>
      <c r="H101" s="245">
        <f t="shared" ref="H101:H108" si="58">G101/F101</f>
        <v>1.4784615384615383</v>
      </c>
      <c r="I101" s="245">
        <f t="shared" ref="I101:I108" si="59">G101/E101</f>
        <v>1.2644736842105262</v>
      </c>
      <c r="J101" s="246" t="s">
        <v>1353</v>
      </c>
      <c r="K101" s="246" t="s">
        <v>41</v>
      </c>
      <c r="L101" s="70" t="s">
        <v>63</v>
      </c>
      <c r="M101" s="40">
        <v>1</v>
      </c>
      <c r="N101" s="41">
        <f t="shared" si="46"/>
        <v>1</v>
      </c>
      <c r="O101" s="41">
        <f t="shared" si="53"/>
        <v>1.25</v>
      </c>
      <c r="AC101" s="64">
        <f t="shared" si="45"/>
        <v>1.4784615384615383</v>
      </c>
      <c r="AD101" s="64">
        <f t="shared" si="45"/>
        <v>1.2644736842105262</v>
      </c>
    </row>
    <row r="102" spans="1:37" ht="45" outlineLevel="2" x14ac:dyDescent="0.25">
      <c r="A102" s="236" t="s">
        <v>101</v>
      </c>
      <c r="B102" s="379" t="s">
        <v>710</v>
      </c>
      <c r="C102" s="153" t="s">
        <v>314</v>
      </c>
      <c r="D102" s="244" t="s">
        <v>312</v>
      </c>
      <c r="E102" s="378">
        <v>28</v>
      </c>
      <c r="F102" s="378">
        <v>19.5</v>
      </c>
      <c r="G102" s="378">
        <v>28.07</v>
      </c>
      <c r="H102" s="245">
        <f t="shared" si="58"/>
        <v>1.4394871794871795</v>
      </c>
      <c r="I102" s="245">
        <f t="shared" si="59"/>
        <v>1.0024999999999999</v>
      </c>
      <c r="J102" s="246" t="s">
        <v>1864</v>
      </c>
      <c r="K102" s="246" t="s">
        <v>41</v>
      </c>
      <c r="L102" s="70" t="s">
        <v>63</v>
      </c>
      <c r="M102" s="40">
        <v>1</v>
      </c>
      <c r="N102" s="41">
        <f t="shared" si="46"/>
        <v>1</v>
      </c>
      <c r="O102" s="41">
        <f t="shared" si="53"/>
        <v>1.0024999999999999</v>
      </c>
      <c r="AC102" s="64">
        <f t="shared" si="45"/>
        <v>1.4394871794871795</v>
      </c>
      <c r="AD102" s="64">
        <f t="shared" si="45"/>
        <v>1.0024999999999999</v>
      </c>
    </row>
    <row r="103" spans="1:37" ht="67.5" outlineLevel="2" x14ac:dyDescent="0.25">
      <c r="A103" s="236" t="s">
        <v>234</v>
      </c>
      <c r="B103" s="379" t="s">
        <v>711</v>
      </c>
      <c r="C103" s="153" t="s">
        <v>314</v>
      </c>
      <c r="D103" s="244" t="s">
        <v>312</v>
      </c>
      <c r="E103" s="378">
        <v>100.1</v>
      </c>
      <c r="F103" s="378">
        <v>100</v>
      </c>
      <c r="G103" s="378">
        <v>98.8</v>
      </c>
      <c r="H103" s="245">
        <f t="shared" si="58"/>
        <v>0.98799999999999999</v>
      </c>
      <c r="I103" s="245">
        <f t="shared" si="59"/>
        <v>0.98701298701298701</v>
      </c>
      <c r="J103" s="246" t="s">
        <v>1865</v>
      </c>
      <c r="K103" s="246" t="s">
        <v>1348</v>
      </c>
      <c r="L103" s="70" t="s">
        <v>63</v>
      </c>
      <c r="M103" s="40">
        <v>1</v>
      </c>
      <c r="N103" s="41">
        <f t="shared" si="46"/>
        <v>0.98799999999999999</v>
      </c>
      <c r="O103" s="41">
        <f t="shared" si="53"/>
        <v>0.98701298701298701</v>
      </c>
      <c r="AC103" s="64">
        <f t="shared" si="45"/>
        <v>0.98799999999999999</v>
      </c>
      <c r="AD103" s="64">
        <f t="shared" si="45"/>
        <v>0.98701298701298701</v>
      </c>
    </row>
    <row r="104" spans="1:37" ht="49.5" customHeight="1" outlineLevel="2" x14ac:dyDescent="0.25">
      <c r="A104" s="236" t="s">
        <v>355</v>
      </c>
      <c r="B104" s="379" t="s">
        <v>1350</v>
      </c>
      <c r="C104" s="153" t="s">
        <v>320</v>
      </c>
      <c r="D104" s="244" t="s">
        <v>312</v>
      </c>
      <c r="E104" s="378">
        <v>1680</v>
      </c>
      <c r="F104" s="378">
        <v>11680</v>
      </c>
      <c r="G104" s="378">
        <v>14441</v>
      </c>
      <c r="H104" s="245">
        <f t="shared" si="58"/>
        <v>1.2363869863013699</v>
      </c>
      <c r="I104" s="245" t="s">
        <v>41</v>
      </c>
      <c r="J104" s="246" t="s">
        <v>1866</v>
      </c>
      <c r="K104" s="246" t="s">
        <v>41</v>
      </c>
      <c r="L104" s="70" t="s">
        <v>63</v>
      </c>
      <c r="M104" s="40">
        <v>1</v>
      </c>
      <c r="N104" s="41">
        <f t="shared" si="46"/>
        <v>1</v>
      </c>
      <c r="O104" s="41" t="s">
        <v>41</v>
      </c>
      <c r="AC104" s="64">
        <f t="shared" si="45"/>
        <v>1.2363869863013699</v>
      </c>
      <c r="AD104" s="64" t="str">
        <f t="shared" si="45"/>
        <v>-</v>
      </c>
    </row>
    <row r="105" spans="1:37" ht="37.5" customHeight="1" outlineLevel="2" x14ac:dyDescent="0.25">
      <c r="A105" s="236" t="s">
        <v>630</v>
      </c>
      <c r="B105" s="379" t="s">
        <v>713</v>
      </c>
      <c r="C105" s="153" t="s">
        <v>314</v>
      </c>
      <c r="D105" s="244" t="s">
        <v>312</v>
      </c>
      <c r="E105" s="378">
        <v>17.5</v>
      </c>
      <c r="F105" s="378">
        <v>18</v>
      </c>
      <c r="G105" s="378">
        <v>18.100000000000001</v>
      </c>
      <c r="H105" s="245">
        <f t="shared" si="58"/>
        <v>1.0055555555555555</v>
      </c>
      <c r="I105" s="245">
        <f t="shared" si="59"/>
        <v>1.0342857142857145</v>
      </c>
      <c r="J105" s="246" t="s">
        <v>1354</v>
      </c>
      <c r="K105" s="246" t="s">
        <v>41</v>
      </c>
      <c r="L105" s="70" t="s">
        <v>63</v>
      </c>
      <c r="M105" s="40">
        <v>1</v>
      </c>
      <c r="N105" s="41">
        <f t="shared" si="46"/>
        <v>1</v>
      </c>
      <c r="O105" s="41">
        <f t="shared" si="53"/>
        <v>1.0342857142857145</v>
      </c>
      <c r="AC105" s="64">
        <f t="shared" si="45"/>
        <v>1.0055555555555555</v>
      </c>
      <c r="AD105" s="64">
        <f t="shared" si="45"/>
        <v>1.0342857142857145</v>
      </c>
    </row>
    <row r="106" spans="1:37" ht="51.75" customHeight="1" outlineLevel="2" x14ac:dyDescent="0.25">
      <c r="A106" s="236" t="s">
        <v>631</v>
      </c>
      <c r="B106" s="379" t="s">
        <v>714</v>
      </c>
      <c r="C106" s="153" t="s">
        <v>314</v>
      </c>
      <c r="D106" s="244" t="s">
        <v>312</v>
      </c>
      <c r="E106" s="378">
        <v>29.77</v>
      </c>
      <c r="F106" s="378">
        <v>32.4</v>
      </c>
      <c r="G106" s="378">
        <v>30.14</v>
      </c>
      <c r="H106" s="245">
        <f t="shared" si="58"/>
        <v>0.93024691358024703</v>
      </c>
      <c r="I106" s="245">
        <f t="shared" si="59"/>
        <v>1.012428619415519</v>
      </c>
      <c r="J106" s="246" t="s">
        <v>1867</v>
      </c>
      <c r="K106" s="246" t="s">
        <v>1868</v>
      </c>
      <c r="L106" s="70" t="s">
        <v>63</v>
      </c>
      <c r="M106" s="40">
        <v>1</v>
      </c>
      <c r="N106" s="41">
        <f t="shared" si="46"/>
        <v>0.93024691358024703</v>
      </c>
      <c r="O106" s="41">
        <f t="shared" si="53"/>
        <v>1.012428619415519</v>
      </c>
      <c r="AC106" s="64">
        <f t="shared" si="45"/>
        <v>0.93024691358024703</v>
      </c>
      <c r="AD106" s="64">
        <f t="shared" si="45"/>
        <v>1.012428619415519</v>
      </c>
    </row>
    <row r="107" spans="1:37" ht="58.5" customHeight="1" outlineLevel="2" x14ac:dyDescent="0.25">
      <c r="A107" s="236" t="s">
        <v>1122</v>
      </c>
      <c r="B107" s="447" t="s">
        <v>1351</v>
      </c>
      <c r="C107" s="153" t="s">
        <v>314</v>
      </c>
      <c r="D107" s="244" t="s">
        <v>312</v>
      </c>
      <c r="E107" s="378">
        <v>67</v>
      </c>
      <c r="F107" s="378">
        <v>70</v>
      </c>
      <c r="G107" s="378">
        <v>70</v>
      </c>
      <c r="H107" s="245">
        <f t="shared" ref="H107" si="60">G107/F107</f>
        <v>1</v>
      </c>
      <c r="I107" s="245">
        <f t="shared" si="59"/>
        <v>1.044776119402985</v>
      </c>
      <c r="J107" s="246" t="s">
        <v>41</v>
      </c>
      <c r="K107" s="246" t="s">
        <v>41</v>
      </c>
      <c r="L107" s="70" t="s">
        <v>63</v>
      </c>
      <c r="M107" s="40">
        <v>1</v>
      </c>
      <c r="N107" s="41">
        <f t="shared" ref="N107" si="61">IF(H107&gt;1,1,H107)</f>
        <v>1</v>
      </c>
      <c r="O107" s="41">
        <f t="shared" si="53"/>
        <v>1.044776119402985</v>
      </c>
      <c r="AC107" s="64">
        <f t="shared" si="45"/>
        <v>1</v>
      </c>
      <c r="AD107" s="64">
        <f t="shared" si="45"/>
        <v>1.044776119402985</v>
      </c>
    </row>
    <row r="108" spans="1:37" ht="67.5" outlineLevel="2" x14ac:dyDescent="0.25">
      <c r="A108" s="236" t="s">
        <v>1349</v>
      </c>
      <c r="B108" s="379" t="s">
        <v>1352</v>
      </c>
      <c r="C108" s="153" t="s">
        <v>314</v>
      </c>
      <c r="D108" s="244" t="s">
        <v>312</v>
      </c>
      <c r="E108" s="378">
        <v>6.15</v>
      </c>
      <c r="F108" s="378">
        <v>1.18</v>
      </c>
      <c r="G108" s="378">
        <v>6.31</v>
      </c>
      <c r="H108" s="245">
        <f t="shared" si="58"/>
        <v>5.3474576271186436</v>
      </c>
      <c r="I108" s="245">
        <f t="shared" si="59"/>
        <v>1.0260162601626015</v>
      </c>
      <c r="J108" s="246" t="s">
        <v>1869</v>
      </c>
      <c r="K108" s="246" t="s">
        <v>41</v>
      </c>
      <c r="L108" s="70" t="s">
        <v>63</v>
      </c>
      <c r="M108" s="40">
        <v>1</v>
      </c>
      <c r="N108" s="41">
        <f t="shared" si="46"/>
        <v>1</v>
      </c>
      <c r="O108" s="41">
        <f t="shared" si="53"/>
        <v>1.0260162601626015</v>
      </c>
      <c r="AC108" s="64">
        <f t="shared" si="45"/>
        <v>5.3474576271186436</v>
      </c>
      <c r="AD108" s="64">
        <f t="shared" si="45"/>
        <v>1.0260162601626015</v>
      </c>
    </row>
    <row r="109" spans="1:37" s="45" customFormat="1" outlineLevel="1" x14ac:dyDescent="0.25">
      <c r="A109" s="65" t="s">
        <v>184</v>
      </c>
      <c r="B109" s="621" t="s">
        <v>717</v>
      </c>
      <c r="C109" s="622"/>
      <c r="D109" s="622"/>
      <c r="E109" s="622"/>
      <c r="F109" s="622"/>
      <c r="G109" s="623"/>
      <c r="H109" s="66" t="s">
        <v>41</v>
      </c>
      <c r="I109" s="66">
        <v>1</v>
      </c>
      <c r="J109" s="67"/>
      <c r="K109" s="67"/>
      <c r="L109" s="68"/>
      <c r="M109" s="61"/>
      <c r="N109" s="41"/>
      <c r="O109" s="41"/>
      <c r="P109" s="47"/>
      <c r="Q109" s="47"/>
      <c r="R109" s="98">
        <f>COUNTA(C110:C111)</f>
        <v>2</v>
      </c>
      <c r="S109" s="97">
        <v>2</v>
      </c>
      <c r="T109" s="98">
        <f>COUNTIFS(AC110:AC111,"&gt;1,50")</f>
        <v>0</v>
      </c>
      <c r="U109" s="98">
        <f>COUNTIFS(AC110:AC111,"&gt;=0,995",AC110:AC111,"&lt;=1,5")</f>
        <v>0</v>
      </c>
      <c r="V109" s="98">
        <f>COUNTIFS(AC110:AC111,"&gt;=0,85",AC110:AC111,"&lt;0,995")</f>
        <v>0</v>
      </c>
      <c r="W109" s="98">
        <f>COUNTIFS(AC110:AC111,"&lt;0,85")</f>
        <v>0</v>
      </c>
      <c r="X109" s="50"/>
      <c r="Z109" s="90">
        <f>COUNTIFS(AD110:AD111,"&gt;=1,01")</f>
        <v>0</v>
      </c>
      <c r="AA109" s="90">
        <f>COUNTIFS(AD110:AD111,"&gt;=0,99",AD110:AD111,"&lt;1,01")</f>
        <v>0</v>
      </c>
      <c r="AB109" s="91">
        <f>COUNTIFS(AD110:AD111,"&lt;0,99")</f>
        <v>0</v>
      </c>
      <c r="AC109" s="64"/>
      <c r="AD109" s="64"/>
      <c r="AK109" s="45">
        <f>SUM(T109:X109)-R109</f>
        <v>-2</v>
      </c>
    </row>
    <row r="110" spans="1:37" ht="132.75" customHeight="1" outlineLevel="2" x14ac:dyDescent="0.25">
      <c r="A110" s="236" t="s">
        <v>715</v>
      </c>
      <c r="B110" s="379" t="s">
        <v>356</v>
      </c>
      <c r="C110" s="127" t="s">
        <v>314</v>
      </c>
      <c r="D110" s="244" t="s">
        <v>312</v>
      </c>
      <c r="E110" s="378">
        <v>99</v>
      </c>
      <c r="F110" s="378">
        <v>95</v>
      </c>
      <c r="G110" s="378">
        <v>94.2</v>
      </c>
      <c r="H110" s="245">
        <f t="shared" ref="H110" si="62">G110/F110</f>
        <v>0.99157894736842112</v>
      </c>
      <c r="I110" s="245">
        <f t="shared" ref="I110" si="63">G110/E110</f>
        <v>0.95151515151515154</v>
      </c>
      <c r="J110" s="435" t="s">
        <v>1870</v>
      </c>
      <c r="K110" s="246" t="s">
        <v>41</v>
      </c>
      <c r="L110" s="70" t="s">
        <v>63</v>
      </c>
      <c r="M110" s="40">
        <v>1</v>
      </c>
      <c r="N110" s="41" t="s">
        <v>41</v>
      </c>
      <c r="O110" s="41" t="s">
        <v>41</v>
      </c>
      <c r="AC110" s="64" t="s">
        <v>41</v>
      </c>
      <c r="AD110" s="64" t="s">
        <v>41</v>
      </c>
    </row>
    <row r="111" spans="1:37" ht="138.75" customHeight="1" outlineLevel="2" x14ac:dyDescent="0.25">
      <c r="A111" s="236" t="s">
        <v>716</v>
      </c>
      <c r="B111" s="379" t="s">
        <v>354</v>
      </c>
      <c r="C111" s="378" t="s">
        <v>314</v>
      </c>
      <c r="D111" s="226" t="s">
        <v>298</v>
      </c>
      <c r="E111" s="378">
        <v>62.7</v>
      </c>
      <c r="F111" s="378">
        <v>62</v>
      </c>
      <c r="G111" s="378">
        <v>62.3</v>
      </c>
      <c r="H111" s="245">
        <f>F111/G111</f>
        <v>0.9951845906902087</v>
      </c>
      <c r="I111" s="249">
        <f>E111/G111</f>
        <v>1.0064205457463886</v>
      </c>
      <c r="J111" s="435" t="s">
        <v>1871</v>
      </c>
      <c r="K111" s="246" t="s">
        <v>41</v>
      </c>
      <c r="L111" s="70" t="s">
        <v>63</v>
      </c>
      <c r="M111" s="40">
        <v>-1</v>
      </c>
      <c r="N111" s="41" t="s">
        <v>41</v>
      </c>
      <c r="O111" s="41" t="s">
        <v>41</v>
      </c>
      <c r="AC111" s="64" t="s">
        <v>41</v>
      </c>
      <c r="AD111" s="64" t="s">
        <v>41</v>
      </c>
    </row>
    <row r="112" spans="1:37" s="45" customFormat="1" ht="18" customHeight="1" x14ac:dyDescent="0.25">
      <c r="A112" s="401">
        <v>3</v>
      </c>
      <c r="B112" s="624" t="s">
        <v>718</v>
      </c>
      <c r="C112" s="624"/>
      <c r="D112" s="624"/>
      <c r="E112" s="624"/>
      <c r="F112" s="624"/>
      <c r="G112" s="624"/>
      <c r="H112" s="402">
        <f>AVERAGE(N113:N117,N119:N123,N125:N135,N137:N141)</f>
        <v>0.98459357277882797</v>
      </c>
      <c r="I112" s="402">
        <f>AVERAGE(O113:O141)</f>
        <v>1.0554462583686168</v>
      </c>
      <c r="J112" s="403"/>
      <c r="K112" s="403"/>
      <c r="L112" s="404"/>
      <c r="M112" s="61"/>
      <c r="N112" s="41"/>
      <c r="O112" s="41"/>
      <c r="P112" s="47"/>
      <c r="Q112" s="47"/>
      <c r="R112" s="104">
        <f>COUNTA(C113:C141)</f>
        <v>26</v>
      </c>
      <c r="S112" s="96">
        <f>R112-T112-U112-V112-W112</f>
        <v>3</v>
      </c>
      <c r="T112" s="104">
        <f>COUNTIFS(AC113:AC141,"&gt;1,50")</f>
        <v>2</v>
      </c>
      <c r="U112" s="104">
        <f>COUNTIFS(AC113:AC141,"&gt;=0,995",AC113:AC141,"&lt;=1,5")</f>
        <v>19</v>
      </c>
      <c r="V112" s="104">
        <f>COUNTIFS(AC113:AC141,"&gt;=0,85",AC113:AC141,"&lt;0,995")</f>
        <v>1</v>
      </c>
      <c r="W112" s="104">
        <f>COUNTIFS(AC113:AC141,"&lt;0,85")</f>
        <v>1</v>
      </c>
      <c r="X112" s="47"/>
      <c r="Z112" s="94">
        <f>COUNTIFS(AD113:AD141,"&gt;=1,01")</f>
        <v>9</v>
      </c>
      <c r="AA112" s="94">
        <f>COUNTIFS(AD113:AD141,"&gt;=0,99",AD113:AD141,"&lt;1,01")</f>
        <v>7</v>
      </c>
      <c r="AB112" s="95">
        <f>COUNTIFS(AD113:AD141,"&lt;0,99")</f>
        <v>2</v>
      </c>
      <c r="AC112" s="64"/>
      <c r="AD112" s="64"/>
      <c r="AK112" s="45">
        <f>SUM(T112:X112)-R112</f>
        <v>-3</v>
      </c>
    </row>
    <row r="113" spans="1:37" ht="45" outlineLevel="2" x14ac:dyDescent="0.25">
      <c r="A113" s="236" t="s">
        <v>357</v>
      </c>
      <c r="B113" s="38" t="s">
        <v>360</v>
      </c>
      <c r="C113" s="153" t="s">
        <v>314</v>
      </c>
      <c r="D113" s="251" t="s">
        <v>298</v>
      </c>
      <c r="E113" s="143">
        <v>1.88</v>
      </c>
      <c r="F113" s="143">
        <v>16.41</v>
      </c>
      <c r="G113" s="143">
        <v>1.63</v>
      </c>
      <c r="H113" s="192">
        <f>(F113/G113)</f>
        <v>10.067484662576687</v>
      </c>
      <c r="I113" s="192">
        <f>(E113/G113)</f>
        <v>1.1533742331288344</v>
      </c>
      <c r="J113" s="246" t="s">
        <v>1725</v>
      </c>
      <c r="K113" s="246" t="s">
        <v>41</v>
      </c>
      <c r="L113" s="39" t="s">
        <v>239</v>
      </c>
      <c r="M113" s="40">
        <v>-1</v>
      </c>
      <c r="N113" s="41">
        <f t="shared" ref="N113" si="64">IF(H113&gt;1,1,H113)</f>
        <v>1</v>
      </c>
      <c r="O113" s="41">
        <f t="shared" ref="O113" si="65">IF(I113&gt;1.25,1.25,I113)</f>
        <v>1.1533742331288344</v>
      </c>
      <c r="AC113" s="64">
        <f t="shared" ref="AC113" si="66">H113</f>
        <v>10.067484662576687</v>
      </c>
      <c r="AD113" s="64">
        <f t="shared" ref="AD113" si="67">I113</f>
        <v>1.1533742331288344</v>
      </c>
    </row>
    <row r="114" spans="1:37" ht="63" customHeight="1" outlineLevel="2" x14ac:dyDescent="0.25">
      <c r="A114" s="236" t="s">
        <v>359</v>
      </c>
      <c r="B114" s="38" t="s">
        <v>358</v>
      </c>
      <c r="C114" s="153" t="s">
        <v>314</v>
      </c>
      <c r="D114" s="251" t="s">
        <v>298</v>
      </c>
      <c r="E114" s="143">
        <v>6.7</v>
      </c>
      <c r="F114" s="143">
        <v>8.1</v>
      </c>
      <c r="G114" s="143">
        <v>8.1</v>
      </c>
      <c r="H114" s="192">
        <f>(F114/G114)</f>
        <v>1</v>
      </c>
      <c r="I114" s="192">
        <f>(E114/G114)</f>
        <v>0.8271604938271605</v>
      </c>
      <c r="J114" s="246" t="s">
        <v>1726</v>
      </c>
      <c r="K114" s="246" t="s">
        <v>41</v>
      </c>
      <c r="L114" s="39" t="s">
        <v>239</v>
      </c>
      <c r="M114" s="40">
        <v>-1</v>
      </c>
      <c r="N114" s="41" t="s">
        <v>41</v>
      </c>
      <c r="O114" s="41" t="s">
        <v>41</v>
      </c>
      <c r="AC114" s="64"/>
      <c r="AD114" s="64"/>
    </row>
    <row r="115" spans="1:37" ht="67.5" outlineLevel="2" x14ac:dyDescent="0.25">
      <c r="A115" s="236" t="s">
        <v>361</v>
      </c>
      <c r="B115" s="38" t="s">
        <v>362</v>
      </c>
      <c r="C115" s="153" t="s">
        <v>314</v>
      </c>
      <c r="D115" s="244" t="s">
        <v>312</v>
      </c>
      <c r="E115" s="143">
        <v>100</v>
      </c>
      <c r="F115" s="143">
        <v>100</v>
      </c>
      <c r="G115" s="143">
        <v>100</v>
      </c>
      <c r="H115" s="192">
        <f>(G115/F115)</f>
        <v>1</v>
      </c>
      <c r="I115" s="192">
        <f>(G115/E115)</f>
        <v>1</v>
      </c>
      <c r="J115" s="246" t="s">
        <v>41</v>
      </c>
      <c r="K115" s="246" t="s">
        <v>41</v>
      </c>
      <c r="L115" s="39" t="s">
        <v>239</v>
      </c>
      <c r="M115" s="40">
        <v>1</v>
      </c>
      <c r="N115" s="41">
        <f t="shared" si="46"/>
        <v>1</v>
      </c>
      <c r="O115" s="41">
        <f t="shared" ref="O115:O116" si="68">IF(I115&gt;1.25,1.25,I115)</f>
        <v>1</v>
      </c>
      <c r="AC115" s="64">
        <f t="shared" si="45"/>
        <v>1</v>
      </c>
      <c r="AD115" s="64">
        <f t="shared" si="45"/>
        <v>1</v>
      </c>
    </row>
    <row r="116" spans="1:37" ht="56.25" outlineLevel="2" x14ac:dyDescent="0.25">
      <c r="A116" s="236" t="s">
        <v>363</v>
      </c>
      <c r="B116" s="38" t="s">
        <v>364</v>
      </c>
      <c r="C116" s="153" t="s">
        <v>314</v>
      </c>
      <c r="D116" s="244" t="s">
        <v>312</v>
      </c>
      <c r="E116" s="143">
        <v>93.2</v>
      </c>
      <c r="F116" s="143">
        <v>91.6</v>
      </c>
      <c r="G116" s="143">
        <v>93</v>
      </c>
      <c r="H116" s="192">
        <f>(G116/F116)</f>
        <v>1.0152838427947599</v>
      </c>
      <c r="I116" s="192">
        <f>(G116/E116)</f>
        <v>0.99785407725321884</v>
      </c>
      <c r="J116" s="246" t="s">
        <v>1727</v>
      </c>
      <c r="K116" s="246" t="s">
        <v>41</v>
      </c>
      <c r="L116" s="39" t="s">
        <v>63</v>
      </c>
      <c r="M116" s="40">
        <v>1</v>
      </c>
      <c r="N116" s="41">
        <f t="shared" si="46"/>
        <v>1</v>
      </c>
      <c r="O116" s="41">
        <f t="shared" si="68"/>
        <v>0.99785407725321884</v>
      </c>
      <c r="AC116" s="64">
        <f t="shared" si="45"/>
        <v>1.0152838427947599</v>
      </c>
      <c r="AD116" s="64">
        <f t="shared" si="45"/>
        <v>0.99785407725321884</v>
      </c>
    </row>
    <row r="117" spans="1:37" ht="45" outlineLevel="2" x14ac:dyDescent="0.25">
      <c r="A117" s="236" t="s">
        <v>365</v>
      </c>
      <c r="B117" s="38" t="s">
        <v>367</v>
      </c>
      <c r="C117" s="153" t="s">
        <v>368</v>
      </c>
      <c r="D117" s="252" t="s">
        <v>366</v>
      </c>
      <c r="E117" s="143">
        <v>1.45</v>
      </c>
      <c r="F117" s="143">
        <v>1.29</v>
      </c>
      <c r="G117" s="143">
        <v>1.38</v>
      </c>
      <c r="H117" s="192">
        <f>(G117/F117)</f>
        <v>1.069767441860465</v>
      </c>
      <c r="I117" s="192">
        <f>(G117/E117)</f>
        <v>0.95172413793103439</v>
      </c>
      <c r="J117" s="246" t="s">
        <v>1728</v>
      </c>
      <c r="K117" s="246" t="s">
        <v>41</v>
      </c>
      <c r="L117" s="39" t="s">
        <v>239</v>
      </c>
      <c r="M117" s="40">
        <v>0</v>
      </c>
      <c r="N117" s="41" t="s">
        <v>41</v>
      </c>
      <c r="O117" s="41" t="s">
        <v>41</v>
      </c>
      <c r="AC117" s="64"/>
      <c r="AD117" s="64"/>
    </row>
    <row r="118" spans="1:37" s="45" customFormat="1" ht="27" customHeight="1" outlineLevel="1" x14ac:dyDescent="0.25">
      <c r="A118" s="65" t="s">
        <v>102</v>
      </c>
      <c r="B118" s="619" t="s">
        <v>719</v>
      </c>
      <c r="C118" s="619"/>
      <c r="D118" s="619"/>
      <c r="E118" s="619"/>
      <c r="F118" s="619"/>
      <c r="G118" s="619"/>
      <c r="H118" s="66">
        <f>AVERAGE(N119:N123)</f>
        <v>1</v>
      </c>
      <c r="I118" s="66">
        <f>AVERAGE(O119:O123)</f>
        <v>1.0079212454212454</v>
      </c>
      <c r="J118" s="67"/>
      <c r="K118" s="67"/>
      <c r="L118" s="68"/>
      <c r="M118" s="61"/>
      <c r="N118" s="41"/>
      <c r="O118" s="49"/>
      <c r="P118" s="47"/>
      <c r="Q118" s="47"/>
      <c r="R118" s="98">
        <f>COUNTA(C119:C123)</f>
        <v>5</v>
      </c>
      <c r="S118" s="97">
        <v>1</v>
      </c>
      <c r="T118" s="98">
        <f>COUNTIFS(AC119:AC123,"&gt;1,50")</f>
        <v>0</v>
      </c>
      <c r="U118" s="98">
        <f>COUNTIFS(AC119:AC123,"&gt;=0,995",AC119:AC123,"&lt;=1,5")</f>
        <v>4</v>
      </c>
      <c r="V118" s="98">
        <f>COUNTIFS(AC119:AC123,"&gt;=0,85",AC119:AC123,"&lt;0,995")</f>
        <v>0</v>
      </c>
      <c r="W118" s="98">
        <f>COUNTIFS(AC119:AC123,"&lt;0,85")</f>
        <v>0</v>
      </c>
      <c r="X118" s="50">
        <v>1</v>
      </c>
      <c r="Z118" s="90">
        <f>COUNTIFS(AD119:AD123,"&gt;=1,01")</f>
        <v>1</v>
      </c>
      <c r="AA118" s="90">
        <f>COUNTIFS(AD119:AD123,"&gt;=0,99",AD119:AD123,"&lt;1,01")</f>
        <v>2</v>
      </c>
      <c r="AB118" s="91">
        <f>COUNTIFS(AD119:AD123,"&lt;0,99")</f>
        <v>0</v>
      </c>
      <c r="AC118" s="64"/>
      <c r="AD118" s="64"/>
      <c r="AK118" s="45">
        <f>SUM(T118:X118)-R118</f>
        <v>0</v>
      </c>
    </row>
    <row r="119" spans="1:37" ht="63" customHeight="1" outlineLevel="2" x14ac:dyDescent="0.25">
      <c r="A119" s="236" t="s">
        <v>103</v>
      </c>
      <c r="B119" s="38" t="s">
        <v>720</v>
      </c>
      <c r="C119" s="153" t="s">
        <v>314</v>
      </c>
      <c r="D119" s="244" t="s">
        <v>312</v>
      </c>
      <c r="E119" s="143">
        <v>13</v>
      </c>
      <c r="F119" s="143">
        <v>13.1</v>
      </c>
      <c r="G119" s="143">
        <v>13.1</v>
      </c>
      <c r="H119" s="192">
        <f>(G119/F119)</f>
        <v>1</v>
      </c>
      <c r="I119" s="192">
        <f>(G119/E119)</f>
        <v>1.0076923076923077</v>
      </c>
      <c r="J119" s="246" t="s">
        <v>41</v>
      </c>
      <c r="K119" s="246" t="s">
        <v>41</v>
      </c>
      <c r="L119" s="39" t="s">
        <v>239</v>
      </c>
      <c r="M119" s="40">
        <v>1</v>
      </c>
      <c r="N119" s="41">
        <f t="shared" si="46"/>
        <v>1</v>
      </c>
      <c r="O119" s="41">
        <f t="shared" ref="O119:O134" si="69">IF(I119&gt;1.25,1.25,I119)</f>
        <v>1.0076923076923077</v>
      </c>
      <c r="AC119" s="64">
        <f t="shared" si="45"/>
        <v>1</v>
      </c>
      <c r="AD119" s="64">
        <f t="shared" si="45"/>
        <v>1.0076923076923077</v>
      </c>
    </row>
    <row r="120" spans="1:37" ht="114" customHeight="1" outlineLevel="2" x14ac:dyDescent="0.25">
      <c r="A120" s="236" t="s">
        <v>104</v>
      </c>
      <c r="B120" s="38" t="s">
        <v>721</v>
      </c>
      <c r="C120" s="153" t="s">
        <v>314</v>
      </c>
      <c r="D120" s="244" t="s">
        <v>312</v>
      </c>
      <c r="E120" s="143">
        <v>95.9</v>
      </c>
      <c r="F120" s="143">
        <v>100</v>
      </c>
      <c r="G120" s="143">
        <v>110</v>
      </c>
      <c r="H120" s="192">
        <f>(G120/F120)</f>
        <v>1.1000000000000001</v>
      </c>
      <c r="I120" s="192">
        <f>(G120/E120)</f>
        <v>1.1470281543274243</v>
      </c>
      <c r="J120" s="435" t="s">
        <v>1729</v>
      </c>
      <c r="K120" s="246" t="s">
        <v>41</v>
      </c>
      <c r="L120" s="39" t="s">
        <v>239</v>
      </c>
      <c r="M120" s="40">
        <v>1</v>
      </c>
      <c r="N120" s="41" t="s">
        <v>41</v>
      </c>
      <c r="O120" s="41" t="s">
        <v>41</v>
      </c>
      <c r="AC120" s="64"/>
      <c r="AD120" s="64"/>
    </row>
    <row r="121" spans="1:37" ht="135" outlineLevel="2" x14ac:dyDescent="0.25">
      <c r="A121" s="236" t="s">
        <v>105</v>
      </c>
      <c r="B121" s="38" t="s">
        <v>369</v>
      </c>
      <c r="C121" s="153" t="s">
        <v>314</v>
      </c>
      <c r="D121" s="251" t="s">
        <v>298</v>
      </c>
      <c r="E121" s="143">
        <v>0</v>
      </c>
      <c r="F121" s="143">
        <v>0</v>
      </c>
      <c r="G121" s="143">
        <v>0</v>
      </c>
      <c r="H121" s="192">
        <v>1</v>
      </c>
      <c r="I121" s="192">
        <v>1</v>
      </c>
      <c r="J121" s="246" t="s">
        <v>41</v>
      </c>
      <c r="K121" s="246" t="s">
        <v>41</v>
      </c>
      <c r="L121" s="39" t="s">
        <v>239</v>
      </c>
      <c r="M121" s="40">
        <v>-1</v>
      </c>
      <c r="N121" s="41">
        <f t="shared" si="46"/>
        <v>1</v>
      </c>
      <c r="O121" s="41">
        <f t="shared" si="69"/>
        <v>1</v>
      </c>
      <c r="AC121" s="64">
        <f t="shared" si="45"/>
        <v>1</v>
      </c>
      <c r="AD121" s="64">
        <f t="shared" si="45"/>
        <v>1</v>
      </c>
    </row>
    <row r="122" spans="1:37" ht="78.75" outlineLevel="2" x14ac:dyDescent="0.25">
      <c r="A122" s="236" t="s">
        <v>106</v>
      </c>
      <c r="B122" s="38" t="s">
        <v>370</v>
      </c>
      <c r="C122" s="153" t="s">
        <v>314</v>
      </c>
      <c r="D122" s="244" t="s">
        <v>312</v>
      </c>
      <c r="E122" s="143">
        <v>56</v>
      </c>
      <c r="F122" s="143">
        <v>56</v>
      </c>
      <c r="G122" s="143">
        <v>56.9</v>
      </c>
      <c r="H122" s="192">
        <f>(G122/F122)</f>
        <v>1.0160714285714285</v>
      </c>
      <c r="I122" s="192">
        <f>(G122/E122)</f>
        <v>1.0160714285714285</v>
      </c>
      <c r="J122" s="246" t="s">
        <v>1730</v>
      </c>
      <c r="K122" s="435" t="s">
        <v>41</v>
      </c>
      <c r="L122" s="39" t="s">
        <v>239</v>
      </c>
      <c r="M122" s="40">
        <v>1</v>
      </c>
      <c r="N122" s="41">
        <f t="shared" ref="N122" si="70">IF(H122&gt;1,1,H122)</f>
        <v>1</v>
      </c>
      <c r="O122" s="41">
        <f t="shared" ref="O122" si="71">IF(I122&gt;1.25,1.25,I122)</f>
        <v>1.0160714285714285</v>
      </c>
      <c r="AC122" s="64">
        <f t="shared" si="45"/>
        <v>1.0160714285714285</v>
      </c>
      <c r="AD122" s="64">
        <f t="shared" si="45"/>
        <v>1.0160714285714285</v>
      </c>
    </row>
    <row r="123" spans="1:37" ht="78.75" customHeight="1" outlineLevel="2" x14ac:dyDescent="0.25">
      <c r="A123" s="236" t="s">
        <v>1258</v>
      </c>
      <c r="B123" s="38" t="s">
        <v>1259</v>
      </c>
      <c r="C123" s="153" t="s">
        <v>314</v>
      </c>
      <c r="D123" s="252" t="s">
        <v>366</v>
      </c>
      <c r="E123" s="143">
        <v>4.0999999999999996</v>
      </c>
      <c r="F123" s="143">
        <v>4.4000000000000004</v>
      </c>
      <c r="G123" s="143">
        <v>4.4000000000000004</v>
      </c>
      <c r="H123" s="192">
        <f>(G123/F123)</f>
        <v>1</v>
      </c>
      <c r="I123" s="192" t="s">
        <v>41</v>
      </c>
      <c r="J123" s="246" t="s">
        <v>41</v>
      </c>
      <c r="K123" s="246" t="s">
        <v>41</v>
      </c>
      <c r="L123" s="39" t="s">
        <v>239</v>
      </c>
      <c r="M123" s="40">
        <v>1</v>
      </c>
      <c r="N123" s="41">
        <f t="shared" si="46"/>
        <v>1</v>
      </c>
      <c r="O123" s="41" t="s">
        <v>41</v>
      </c>
      <c r="AC123" s="64">
        <f t="shared" si="45"/>
        <v>1</v>
      </c>
      <c r="AD123" s="64" t="str">
        <f t="shared" si="45"/>
        <v>-</v>
      </c>
    </row>
    <row r="124" spans="1:37" s="45" customFormat="1" ht="21.75" customHeight="1" outlineLevel="1" x14ac:dyDescent="0.25">
      <c r="A124" s="65" t="s">
        <v>107</v>
      </c>
      <c r="B124" s="619" t="s">
        <v>371</v>
      </c>
      <c r="C124" s="619"/>
      <c r="D124" s="619"/>
      <c r="E124" s="619"/>
      <c r="F124" s="619"/>
      <c r="G124" s="619"/>
      <c r="H124" s="66">
        <f>AVERAGE(N125:N135)</f>
        <v>0.99505928853754932</v>
      </c>
      <c r="I124" s="66">
        <f>AVERAGE(O125:O135)</f>
        <v>1.0602551294862332</v>
      </c>
      <c r="J124" s="67"/>
      <c r="K124" s="67"/>
      <c r="L124" s="68"/>
      <c r="M124" s="61"/>
      <c r="N124" s="41"/>
      <c r="O124" s="41"/>
      <c r="P124" s="47"/>
      <c r="Q124" s="47"/>
      <c r="R124" s="98">
        <f>COUNTA(C125:C135)</f>
        <v>11</v>
      </c>
      <c r="S124" s="97">
        <v>0</v>
      </c>
      <c r="T124" s="98">
        <f>COUNTIFS(AC125:AC135,"&gt;1,50")</f>
        <v>0</v>
      </c>
      <c r="U124" s="98">
        <f>COUNTIFS(AC125:AC135,"&gt;=0,995",AC125:AC135,"&lt;=1,5")</f>
        <v>10</v>
      </c>
      <c r="V124" s="98">
        <f>COUNTIFS(AC125:AC135,"&gt;=0,85",AC125:AC135,"&lt;0,995")</f>
        <v>1</v>
      </c>
      <c r="W124" s="98">
        <f>COUNTIFS(AC125:AC135,"&lt;0,85")</f>
        <v>0</v>
      </c>
      <c r="X124" s="50"/>
      <c r="Z124" s="90">
        <f>COUNTIFS(AD125:AD135,"&gt;=1,01")</f>
        <v>4</v>
      </c>
      <c r="AA124" s="90">
        <f>COUNTIFS(AD125:AD135,"&gt;=0,99",AD125:AD135,"&lt;1,01")</f>
        <v>3</v>
      </c>
      <c r="AB124" s="91">
        <f>COUNTIFS(AD125:AD135,"&lt;0,99")</f>
        <v>1</v>
      </c>
      <c r="AC124" s="64"/>
      <c r="AD124" s="64"/>
      <c r="AK124" s="45">
        <f>SUM(T124:X124)-R124</f>
        <v>0</v>
      </c>
    </row>
    <row r="125" spans="1:37" ht="74.25" customHeight="1" outlineLevel="2" x14ac:dyDescent="0.25">
      <c r="A125" s="236" t="s">
        <v>108</v>
      </c>
      <c r="B125" s="38" t="s">
        <v>1039</v>
      </c>
      <c r="C125" s="153" t="s">
        <v>314</v>
      </c>
      <c r="D125" s="244" t="s">
        <v>312</v>
      </c>
      <c r="E125" s="143">
        <v>5.2</v>
      </c>
      <c r="F125" s="143">
        <v>4.3</v>
      </c>
      <c r="G125" s="143">
        <v>5.8</v>
      </c>
      <c r="H125" s="192">
        <f>G125/F125</f>
        <v>1.3488372093023255</v>
      </c>
      <c r="I125" s="192">
        <f>G125/E125</f>
        <v>1.1153846153846154</v>
      </c>
      <c r="J125" s="253" t="s">
        <v>1731</v>
      </c>
      <c r="K125" s="253" t="s">
        <v>41</v>
      </c>
      <c r="L125" s="39" t="s">
        <v>239</v>
      </c>
      <c r="M125" s="40">
        <v>1</v>
      </c>
      <c r="N125" s="41">
        <f t="shared" ref="N125" si="72">IF(H125&gt;1,1,H125)</f>
        <v>1</v>
      </c>
      <c r="O125" s="41">
        <f t="shared" ref="O125" si="73">IF(I125&gt;1.25,1.25,I125)</f>
        <v>1.1153846153846154</v>
      </c>
      <c r="AC125" s="64">
        <f t="shared" ref="AC125" si="74">H125</f>
        <v>1.3488372093023255</v>
      </c>
      <c r="AD125" s="64">
        <f t="shared" ref="AD125" si="75">I125</f>
        <v>1.1153846153846154</v>
      </c>
    </row>
    <row r="126" spans="1:37" ht="79.5" customHeight="1" outlineLevel="2" x14ac:dyDescent="0.25">
      <c r="A126" s="236" t="s">
        <v>109</v>
      </c>
      <c r="B126" s="38" t="s">
        <v>724</v>
      </c>
      <c r="C126" s="153" t="s">
        <v>314</v>
      </c>
      <c r="D126" s="244" t="s">
        <v>312</v>
      </c>
      <c r="E126" s="143">
        <v>48.81</v>
      </c>
      <c r="F126" s="143">
        <v>46.8</v>
      </c>
      <c r="G126" s="143">
        <v>49.03</v>
      </c>
      <c r="H126" s="192">
        <f t="shared" ref="H126:H130" si="76">G126/F126</f>
        <v>1.0476495726495727</v>
      </c>
      <c r="I126" s="192">
        <f t="shared" ref="I126:I135" si="77">G126/E126</f>
        <v>1.0045072730997746</v>
      </c>
      <c r="J126" s="253" t="s">
        <v>1260</v>
      </c>
      <c r="K126" s="253" t="s">
        <v>41</v>
      </c>
      <c r="L126" s="39" t="s">
        <v>239</v>
      </c>
      <c r="M126" s="40">
        <v>1</v>
      </c>
      <c r="N126" s="41">
        <f t="shared" si="46"/>
        <v>1</v>
      </c>
      <c r="O126" s="41">
        <f t="shared" si="69"/>
        <v>1.0045072730997746</v>
      </c>
      <c r="AC126" s="64">
        <f t="shared" si="45"/>
        <v>1.0476495726495727</v>
      </c>
      <c r="AD126" s="64">
        <f t="shared" si="45"/>
        <v>1.0045072730997746</v>
      </c>
    </row>
    <row r="127" spans="1:37" ht="34.5" customHeight="1" outlineLevel="2" x14ac:dyDescent="0.25">
      <c r="A127" s="236" t="s">
        <v>110</v>
      </c>
      <c r="B127" s="38" t="s">
        <v>725</v>
      </c>
      <c r="C127" s="153" t="s">
        <v>314</v>
      </c>
      <c r="D127" s="244" t="s">
        <v>312</v>
      </c>
      <c r="E127" s="143">
        <v>91.5</v>
      </c>
      <c r="F127" s="143">
        <v>92</v>
      </c>
      <c r="G127" s="143">
        <v>87</v>
      </c>
      <c r="H127" s="192">
        <f t="shared" si="76"/>
        <v>0.94565217391304346</v>
      </c>
      <c r="I127" s="192">
        <f t="shared" si="77"/>
        <v>0.95081967213114749</v>
      </c>
      <c r="J127" s="253" t="s">
        <v>1732</v>
      </c>
      <c r="K127" s="253" t="s">
        <v>1733</v>
      </c>
      <c r="L127" s="39" t="s">
        <v>239</v>
      </c>
      <c r="M127" s="40">
        <v>1</v>
      </c>
      <c r="N127" s="41">
        <f t="shared" si="46"/>
        <v>0.94565217391304346</v>
      </c>
      <c r="O127" s="41">
        <f t="shared" si="69"/>
        <v>0.95081967213114749</v>
      </c>
      <c r="AC127" s="64">
        <f t="shared" si="45"/>
        <v>0.94565217391304346</v>
      </c>
      <c r="AD127" s="64">
        <f t="shared" si="45"/>
        <v>0.95081967213114749</v>
      </c>
    </row>
    <row r="128" spans="1:37" ht="22.5" outlineLevel="2" x14ac:dyDescent="0.25">
      <c r="A128" s="236" t="s">
        <v>111</v>
      </c>
      <c r="B128" s="38" t="s">
        <v>372</v>
      </c>
      <c r="C128" s="153" t="s">
        <v>320</v>
      </c>
      <c r="D128" s="153" t="s">
        <v>331</v>
      </c>
      <c r="E128" s="143">
        <v>4199</v>
      </c>
      <c r="F128" s="143">
        <v>4100</v>
      </c>
      <c r="G128" s="143">
        <v>4364</v>
      </c>
      <c r="H128" s="192">
        <f t="shared" si="76"/>
        <v>1.0643902439024391</v>
      </c>
      <c r="I128" s="192">
        <f t="shared" si="77"/>
        <v>1.0392950702548225</v>
      </c>
      <c r="J128" s="253" t="s">
        <v>1734</v>
      </c>
      <c r="K128" s="253" t="s">
        <v>41</v>
      </c>
      <c r="L128" s="39" t="s">
        <v>239</v>
      </c>
      <c r="M128" s="40">
        <v>0</v>
      </c>
      <c r="N128" s="41">
        <f t="shared" si="46"/>
        <v>1</v>
      </c>
      <c r="O128" s="41" t="s">
        <v>41</v>
      </c>
      <c r="AC128" s="64">
        <f t="shared" si="45"/>
        <v>1.0643902439024391</v>
      </c>
      <c r="AD128" s="64" t="s">
        <v>41</v>
      </c>
    </row>
    <row r="129" spans="1:37" ht="33.75" outlineLevel="2" x14ac:dyDescent="0.25">
      <c r="A129" s="236" t="s">
        <v>112</v>
      </c>
      <c r="B129" s="38" t="s">
        <v>373</v>
      </c>
      <c r="C129" s="153" t="s">
        <v>314</v>
      </c>
      <c r="D129" s="244" t="s">
        <v>312</v>
      </c>
      <c r="E129" s="143">
        <v>9.3000000000000007</v>
      </c>
      <c r="F129" s="143">
        <v>9.5</v>
      </c>
      <c r="G129" s="143">
        <v>9.5</v>
      </c>
      <c r="H129" s="192">
        <f t="shared" si="76"/>
        <v>1</v>
      </c>
      <c r="I129" s="192">
        <f t="shared" si="77"/>
        <v>1.021505376344086</v>
      </c>
      <c r="J129" s="253" t="s">
        <v>41</v>
      </c>
      <c r="K129" s="253" t="s">
        <v>41</v>
      </c>
      <c r="L129" s="39" t="s">
        <v>182</v>
      </c>
      <c r="M129" s="40">
        <v>1</v>
      </c>
      <c r="N129" s="41">
        <f t="shared" si="46"/>
        <v>1</v>
      </c>
      <c r="O129" s="41">
        <f t="shared" si="69"/>
        <v>1.021505376344086</v>
      </c>
      <c r="AC129" s="64">
        <f t="shared" si="45"/>
        <v>1</v>
      </c>
      <c r="AD129" s="64">
        <f t="shared" si="45"/>
        <v>1.021505376344086</v>
      </c>
    </row>
    <row r="130" spans="1:37" ht="45" outlineLevel="2" x14ac:dyDescent="0.25">
      <c r="A130" s="236" t="s">
        <v>113</v>
      </c>
      <c r="B130" s="38" t="s">
        <v>375</v>
      </c>
      <c r="C130" s="153" t="s">
        <v>314</v>
      </c>
      <c r="D130" s="244" t="s">
        <v>312</v>
      </c>
      <c r="E130" s="143">
        <v>99</v>
      </c>
      <c r="F130" s="143">
        <v>99.5</v>
      </c>
      <c r="G130" s="143">
        <v>99.7</v>
      </c>
      <c r="H130" s="192">
        <f t="shared" si="76"/>
        <v>1.0020100502512563</v>
      </c>
      <c r="I130" s="192">
        <f t="shared" si="77"/>
        <v>1.007070707070707</v>
      </c>
      <c r="J130" s="253" t="s">
        <v>41</v>
      </c>
      <c r="K130" s="253" t="s">
        <v>41</v>
      </c>
      <c r="L130" s="39" t="s">
        <v>239</v>
      </c>
      <c r="M130" s="40">
        <v>1</v>
      </c>
      <c r="N130" s="41">
        <f t="shared" si="46"/>
        <v>1</v>
      </c>
      <c r="O130" s="41">
        <f t="shared" si="69"/>
        <v>1.007070707070707</v>
      </c>
      <c r="AC130" s="64">
        <f t="shared" si="45"/>
        <v>1.0020100502512563</v>
      </c>
      <c r="AD130" s="64">
        <f t="shared" si="45"/>
        <v>1.007070707070707</v>
      </c>
    </row>
    <row r="131" spans="1:37" ht="67.5" outlineLevel="2" x14ac:dyDescent="0.25">
      <c r="A131" s="236" t="s">
        <v>114</v>
      </c>
      <c r="B131" s="38" t="s">
        <v>374</v>
      </c>
      <c r="C131" s="153" t="s">
        <v>314</v>
      </c>
      <c r="D131" s="153" t="s">
        <v>331</v>
      </c>
      <c r="E131" s="143">
        <v>7.5</v>
      </c>
      <c r="F131" s="143">
        <v>7.5</v>
      </c>
      <c r="G131" s="143">
        <v>7.5</v>
      </c>
      <c r="H131" s="192">
        <f t="shared" ref="H131:H135" si="78">(G131/F131)</f>
        <v>1</v>
      </c>
      <c r="I131" s="192">
        <f t="shared" si="77"/>
        <v>1</v>
      </c>
      <c r="J131" s="253" t="s">
        <v>41</v>
      </c>
      <c r="K131" s="253" t="s">
        <v>41</v>
      </c>
      <c r="L131" s="39" t="s">
        <v>239</v>
      </c>
      <c r="M131" s="40">
        <v>0</v>
      </c>
      <c r="N131" s="41">
        <f t="shared" si="46"/>
        <v>1</v>
      </c>
      <c r="O131" s="41" t="s">
        <v>41</v>
      </c>
      <c r="AC131" s="64">
        <f t="shared" si="45"/>
        <v>1</v>
      </c>
      <c r="AD131" s="64" t="s">
        <v>41</v>
      </c>
    </row>
    <row r="132" spans="1:37" ht="33.75" outlineLevel="2" x14ac:dyDescent="0.25">
      <c r="A132" s="236" t="s">
        <v>115</v>
      </c>
      <c r="B132" s="38" t="s">
        <v>376</v>
      </c>
      <c r="C132" s="153" t="s">
        <v>314</v>
      </c>
      <c r="D132" s="244" t="s">
        <v>312</v>
      </c>
      <c r="E132" s="143">
        <v>87.5</v>
      </c>
      <c r="F132" s="143">
        <v>78</v>
      </c>
      <c r="G132" s="143">
        <v>98.5</v>
      </c>
      <c r="H132" s="192">
        <f t="shared" si="78"/>
        <v>1.2628205128205128</v>
      </c>
      <c r="I132" s="192">
        <f t="shared" si="77"/>
        <v>1.1257142857142857</v>
      </c>
      <c r="J132" s="253" t="s">
        <v>1261</v>
      </c>
      <c r="K132" s="253" t="s">
        <v>41</v>
      </c>
      <c r="L132" s="39" t="s">
        <v>53</v>
      </c>
      <c r="M132" s="40">
        <v>1</v>
      </c>
      <c r="N132" s="41">
        <f t="shared" si="46"/>
        <v>1</v>
      </c>
      <c r="O132" s="41">
        <f t="shared" si="69"/>
        <v>1.1257142857142857</v>
      </c>
      <c r="AC132" s="64">
        <f t="shared" si="45"/>
        <v>1.2628205128205128</v>
      </c>
      <c r="AD132" s="64">
        <f t="shared" si="45"/>
        <v>1.1257142857142857</v>
      </c>
    </row>
    <row r="133" spans="1:37" ht="33.75" outlineLevel="2" x14ac:dyDescent="0.25">
      <c r="A133" s="236" t="s">
        <v>235</v>
      </c>
      <c r="B133" s="38" t="s">
        <v>377</v>
      </c>
      <c r="C133" s="153" t="s">
        <v>314</v>
      </c>
      <c r="D133" s="244" t="s">
        <v>312</v>
      </c>
      <c r="E133" s="143">
        <v>56.8</v>
      </c>
      <c r="F133" s="143">
        <v>70</v>
      </c>
      <c r="G133" s="143">
        <v>74.12</v>
      </c>
      <c r="H133" s="192">
        <f t="shared" si="78"/>
        <v>1.0588571428571429</v>
      </c>
      <c r="I133" s="192">
        <f t="shared" si="77"/>
        <v>1.3049295774647889</v>
      </c>
      <c r="J133" s="253" t="s">
        <v>41</v>
      </c>
      <c r="K133" s="253" t="s">
        <v>41</v>
      </c>
      <c r="L133" s="39" t="s">
        <v>53</v>
      </c>
      <c r="M133" s="40">
        <v>1</v>
      </c>
      <c r="N133" s="41">
        <f t="shared" si="46"/>
        <v>1</v>
      </c>
      <c r="O133" s="41">
        <f t="shared" si="69"/>
        <v>1.25</v>
      </c>
      <c r="AC133" s="64">
        <f t="shared" si="45"/>
        <v>1.0588571428571429</v>
      </c>
      <c r="AD133" s="64">
        <f t="shared" si="45"/>
        <v>1.3049295774647889</v>
      </c>
    </row>
    <row r="134" spans="1:37" ht="45" outlineLevel="2" x14ac:dyDescent="0.25">
      <c r="A134" s="236" t="s">
        <v>722</v>
      </c>
      <c r="B134" s="38" t="s">
        <v>378</v>
      </c>
      <c r="C134" s="153" t="s">
        <v>314</v>
      </c>
      <c r="D134" s="244" t="s">
        <v>312</v>
      </c>
      <c r="E134" s="143">
        <v>89.5</v>
      </c>
      <c r="F134" s="143">
        <v>90</v>
      </c>
      <c r="G134" s="143">
        <v>90.13</v>
      </c>
      <c r="H134" s="192">
        <f t="shared" si="78"/>
        <v>1.0014444444444444</v>
      </c>
      <c r="I134" s="192">
        <f t="shared" si="77"/>
        <v>1.0070391061452513</v>
      </c>
      <c r="J134" s="253" t="s">
        <v>41</v>
      </c>
      <c r="K134" s="253" t="s">
        <v>41</v>
      </c>
      <c r="L134" s="39" t="s">
        <v>53</v>
      </c>
      <c r="M134" s="40">
        <v>1</v>
      </c>
      <c r="N134" s="41">
        <f t="shared" si="46"/>
        <v>1</v>
      </c>
      <c r="O134" s="41">
        <f t="shared" si="69"/>
        <v>1.0070391061452513</v>
      </c>
      <c r="AC134" s="64">
        <f t="shared" si="45"/>
        <v>1.0014444444444444</v>
      </c>
      <c r="AD134" s="64">
        <f t="shared" si="45"/>
        <v>1.0070391061452513</v>
      </c>
    </row>
    <row r="135" spans="1:37" ht="83.25" customHeight="1" outlineLevel="2" x14ac:dyDescent="0.25">
      <c r="A135" s="236" t="s">
        <v>723</v>
      </c>
      <c r="B135" s="38" t="s">
        <v>726</v>
      </c>
      <c r="C135" s="153" t="s">
        <v>314</v>
      </c>
      <c r="D135" s="153" t="s">
        <v>331</v>
      </c>
      <c r="E135" s="143">
        <v>100</v>
      </c>
      <c r="F135" s="143">
        <v>100</v>
      </c>
      <c r="G135" s="143">
        <v>100</v>
      </c>
      <c r="H135" s="192">
        <f t="shared" si="78"/>
        <v>1</v>
      </c>
      <c r="I135" s="192">
        <f t="shared" si="77"/>
        <v>1</v>
      </c>
      <c r="J135" s="253" t="s">
        <v>41</v>
      </c>
      <c r="K135" s="253" t="s">
        <v>41</v>
      </c>
      <c r="L135" s="39" t="s">
        <v>239</v>
      </c>
      <c r="M135" s="40">
        <v>0</v>
      </c>
      <c r="N135" s="41">
        <f t="shared" si="46"/>
        <v>1</v>
      </c>
      <c r="O135" s="41" t="s">
        <v>41</v>
      </c>
      <c r="AC135" s="64">
        <f t="shared" si="45"/>
        <v>1</v>
      </c>
      <c r="AD135" s="64" t="s">
        <v>41</v>
      </c>
    </row>
    <row r="136" spans="1:37" s="45" customFormat="1" ht="34.5" customHeight="1" outlineLevel="1" x14ac:dyDescent="0.25">
      <c r="A136" s="65" t="s">
        <v>116</v>
      </c>
      <c r="B136" s="621" t="s">
        <v>727</v>
      </c>
      <c r="C136" s="622"/>
      <c r="D136" s="622"/>
      <c r="E136" s="622"/>
      <c r="F136" s="622"/>
      <c r="G136" s="623"/>
      <c r="H136" s="66">
        <f>AVERAGE(N137:N141)</f>
        <v>0.94000000000000006</v>
      </c>
      <c r="I136" s="66">
        <f>AVERAGE(O137:O141)</f>
        <v>1.0852498920248626</v>
      </c>
      <c r="J136" s="67"/>
      <c r="K136" s="67"/>
      <c r="L136" s="68"/>
      <c r="M136" s="61"/>
      <c r="N136" s="41"/>
      <c r="O136" s="49"/>
      <c r="P136" s="47"/>
      <c r="Q136" s="47"/>
      <c r="R136" s="98">
        <f>COUNTA(C137:C141)</f>
        <v>5</v>
      </c>
      <c r="S136" s="97">
        <v>0</v>
      </c>
      <c r="T136" s="98">
        <f>COUNTIFS(AC137:AC141,"&gt;1,50")</f>
        <v>1</v>
      </c>
      <c r="U136" s="98">
        <f>COUNTIFS(AC137:AC141,"&gt;=0,995",AC137:AC141,"&lt;=1,5")</f>
        <v>3</v>
      </c>
      <c r="V136" s="98">
        <f>COUNTIFS(AC137:AC141,"&gt;=0,85",AC137:AC141,"&lt;0,995")</f>
        <v>0</v>
      </c>
      <c r="W136" s="98">
        <f>COUNTIFS(AC137:AC141,"&lt;0,85")</f>
        <v>1</v>
      </c>
      <c r="X136" s="50"/>
      <c r="Z136" s="90">
        <f>COUNTIFS(AD137:AD141,"&gt;=1,01")</f>
        <v>3</v>
      </c>
      <c r="AA136" s="90">
        <f>COUNTIFS(AD137:AD141,"&gt;=0,99",AD137:AD141,"&lt;1,01")</f>
        <v>0</v>
      </c>
      <c r="AB136" s="91">
        <f>COUNTIFS(AD137:AD141,"&lt;0,99")</f>
        <v>1</v>
      </c>
      <c r="AC136" s="64"/>
      <c r="AD136" s="64"/>
      <c r="AK136" s="45">
        <f>SUM(T136:X136)-R136</f>
        <v>0</v>
      </c>
    </row>
    <row r="137" spans="1:37" ht="67.5" outlineLevel="2" x14ac:dyDescent="0.25">
      <c r="A137" s="236" t="s">
        <v>117</v>
      </c>
      <c r="B137" s="38" t="s">
        <v>379</v>
      </c>
      <c r="C137" s="153" t="s">
        <v>314</v>
      </c>
      <c r="D137" s="153" t="s">
        <v>331</v>
      </c>
      <c r="E137" s="143">
        <v>100</v>
      </c>
      <c r="F137" s="143">
        <v>100</v>
      </c>
      <c r="G137" s="143">
        <v>100</v>
      </c>
      <c r="H137" s="192">
        <f>(G137/F137)</f>
        <v>1</v>
      </c>
      <c r="I137" s="192">
        <f t="shared" ref="I137" si="79">G137/E137</f>
        <v>1</v>
      </c>
      <c r="J137" s="253" t="s">
        <v>41</v>
      </c>
      <c r="K137" s="253" t="s">
        <v>41</v>
      </c>
      <c r="L137" s="39" t="s">
        <v>63</v>
      </c>
      <c r="M137" s="40">
        <v>0</v>
      </c>
      <c r="N137" s="41">
        <f t="shared" si="46"/>
        <v>1</v>
      </c>
      <c r="O137" s="41" t="s">
        <v>41</v>
      </c>
      <c r="AC137" s="64">
        <f t="shared" si="45"/>
        <v>1</v>
      </c>
      <c r="AD137" s="64" t="s">
        <v>41</v>
      </c>
    </row>
    <row r="138" spans="1:37" ht="295.5" customHeight="1" outlineLevel="2" x14ac:dyDescent="0.25">
      <c r="A138" s="236" t="s">
        <v>118</v>
      </c>
      <c r="B138" s="38" t="s">
        <v>728</v>
      </c>
      <c r="C138" s="153" t="s">
        <v>314</v>
      </c>
      <c r="D138" s="244" t="s">
        <v>312</v>
      </c>
      <c r="E138" s="143">
        <v>77.599999999999994</v>
      </c>
      <c r="F138" s="143">
        <v>90</v>
      </c>
      <c r="G138" s="143">
        <v>63</v>
      </c>
      <c r="H138" s="192">
        <f>(G138/F138)</f>
        <v>0.7</v>
      </c>
      <c r="I138" s="192">
        <f>(G138/E138)</f>
        <v>0.8118556701030929</v>
      </c>
      <c r="J138" s="253" t="s">
        <v>1735</v>
      </c>
      <c r="K138" s="253" t="s">
        <v>1736</v>
      </c>
      <c r="L138" s="39" t="s">
        <v>63</v>
      </c>
      <c r="M138" s="40">
        <v>1</v>
      </c>
      <c r="N138" s="41">
        <f t="shared" si="46"/>
        <v>0.7</v>
      </c>
      <c r="O138" s="41">
        <f t="shared" ref="O138:O160" si="80">IF(I138&gt;1.25,1.25,I138)</f>
        <v>0.8118556701030929</v>
      </c>
      <c r="AC138" s="64">
        <f t="shared" si="45"/>
        <v>0.7</v>
      </c>
      <c r="AD138" s="64">
        <f t="shared" si="45"/>
        <v>0.8118556701030929</v>
      </c>
    </row>
    <row r="139" spans="1:37" ht="144" customHeight="1" outlineLevel="2" x14ac:dyDescent="0.25">
      <c r="A139" s="236" t="s">
        <v>380</v>
      </c>
      <c r="B139" s="38" t="s">
        <v>729</v>
      </c>
      <c r="C139" s="153" t="s">
        <v>320</v>
      </c>
      <c r="D139" s="244" t="s">
        <v>312</v>
      </c>
      <c r="E139" s="143">
        <v>83</v>
      </c>
      <c r="F139" s="143">
        <v>100</v>
      </c>
      <c r="G139" s="143">
        <v>143</v>
      </c>
      <c r="H139" s="192">
        <f>(G139/F139)</f>
        <v>1.43</v>
      </c>
      <c r="I139" s="192">
        <f>(G139/E139)</f>
        <v>1.7228915662650603</v>
      </c>
      <c r="J139" s="253" t="s">
        <v>1737</v>
      </c>
      <c r="K139" s="253" t="s">
        <v>41</v>
      </c>
      <c r="L139" s="39" t="s">
        <v>63</v>
      </c>
      <c r="M139" s="40">
        <v>1</v>
      </c>
      <c r="N139" s="41">
        <f t="shared" si="46"/>
        <v>1</v>
      </c>
      <c r="O139" s="41">
        <f t="shared" si="80"/>
        <v>1.25</v>
      </c>
      <c r="AC139" s="64">
        <f t="shared" si="45"/>
        <v>1.43</v>
      </c>
      <c r="AD139" s="64">
        <f t="shared" si="45"/>
        <v>1.7228915662650603</v>
      </c>
    </row>
    <row r="140" spans="1:37" ht="50.25" customHeight="1" outlineLevel="2" x14ac:dyDescent="0.25">
      <c r="A140" s="236" t="s">
        <v>731</v>
      </c>
      <c r="B140" s="141" t="s">
        <v>730</v>
      </c>
      <c r="C140" s="153" t="s">
        <v>314</v>
      </c>
      <c r="D140" s="244" t="s">
        <v>312</v>
      </c>
      <c r="E140" s="143">
        <v>54.9</v>
      </c>
      <c r="F140" s="143">
        <v>51.5</v>
      </c>
      <c r="G140" s="143">
        <v>56.5</v>
      </c>
      <c r="H140" s="192">
        <f>(G140/F140)</f>
        <v>1.0970873786407767</v>
      </c>
      <c r="I140" s="192">
        <f>(G140/E140)</f>
        <v>1.029143897996357</v>
      </c>
      <c r="J140" s="436" t="s">
        <v>1739</v>
      </c>
      <c r="K140" s="253" t="s">
        <v>41</v>
      </c>
      <c r="L140" s="39" t="s">
        <v>63</v>
      </c>
      <c r="M140" s="40">
        <v>1</v>
      </c>
      <c r="N140" s="41">
        <f t="shared" ref="N140" si="81">IF(H140&gt;1,1,H140)</f>
        <v>1</v>
      </c>
      <c r="O140" s="41">
        <f t="shared" ref="O140:O141" si="82">IF(I140&gt;1.25,1.25,I140)</f>
        <v>1.029143897996357</v>
      </c>
      <c r="AC140" s="64">
        <f t="shared" si="45"/>
        <v>1.0970873786407767</v>
      </c>
      <c r="AD140" s="64">
        <f t="shared" si="45"/>
        <v>1.029143897996357</v>
      </c>
    </row>
    <row r="141" spans="1:37" ht="33.75" outlineLevel="2" x14ac:dyDescent="0.25">
      <c r="A141" s="236" t="s">
        <v>1262</v>
      </c>
      <c r="B141" s="38" t="s">
        <v>1263</v>
      </c>
      <c r="C141" s="153" t="s">
        <v>1264</v>
      </c>
      <c r="D141" s="244" t="s">
        <v>312</v>
      </c>
      <c r="E141" s="143">
        <v>2.7E-2</v>
      </c>
      <c r="F141" s="143">
        <v>1.9E-2</v>
      </c>
      <c r="G141" s="143">
        <v>3.5999999999999997E-2</v>
      </c>
      <c r="H141" s="192">
        <f>(G141/F141)</f>
        <v>1.8947368421052631</v>
      </c>
      <c r="I141" s="192">
        <f>(G141/E141)</f>
        <v>1.3333333333333333</v>
      </c>
      <c r="J141" s="253" t="s">
        <v>1738</v>
      </c>
      <c r="K141" s="253" t="s">
        <v>41</v>
      </c>
      <c r="L141" s="39" t="s">
        <v>63</v>
      </c>
      <c r="M141" s="40">
        <v>0</v>
      </c>
      <c r="N141" s="41">
        <f t="shared" si="46"/>
        <v>1</v>
      </c>
      <c r="O141" s="41">
        <f t="shared" si="82"/>
        <v>1.25</v>
      </c>
      <c r="AC141" s="64">
        <f t="shared" si="45"/>
        <v>1.8947368421052631</v>
      </c>
      <c r="AD141" s="64">
        <f t="shared" si="45"/>
        <v>1.3333333333333333</v>
      </c>
    </row>
    <row r="142" spans="1:37" s="45" customFormat="1" ht="15.75" customHeight="1" x14ac:dyDescent="0.25">
      <c r="A142" s="401">
        <v>4</v>
      </c>
      <c r="B142" s="624" t="s">
        <v>732</v>
      </c>
      <c r="C142" s="624"/>
      <c r="D142" s="624"/>
      <c r="E142" s="624"/>
      <c r="F142" s="624"/>
      <c r="G142" s="624"/>
      <c r="H142" s="402">
        <f>AVERAGE(N143:N144,N146:N151,N153:N161)</f>
        <v>0.92072089864992679</v>
      </c>
      <c r="I142" s="402">
        <f>AVERAGE(O143:O144,O146:O151,O153:O161)</f>
        <v>1.0249369652871387</v>
      </c>
      <c r="J142" s="403"/>
      <c r="K142" s="403"/>
      <c r="L142" s="404"/>
      <c r="M142" s="61"/>
      <c r="N142" s="41"/>
      <c r="O142" s="41"/>
      <c r="P142" s="47"/>
      <c r="Q142" s="47"/>
      <c r="R142" s="104">
        <f>COUNTA(C143:C161)</f>
        <v>16</v>
      </c>
      <c r="S142" s="96">
        <f>R142-T142-U142-V142-W142</f>
        <v>0</v>
      </c>
      <c r="T142" s="104">
        <f>COUNTIFS(AC143:AC161,"&gt;1,50")</f>
        <v>1</v>
      </c>
      <c r="U142" s="104">
        <f>COUNTIFS(AC143:AC161,"&gt;=0,995",AC143:AC161,"&lt;=1,5")</f>
        <v>11</v>
      </c>
      <c r="V142" s="104">
        <f>COUNTIFS(AC143:AC161,"&gt;=0,85",AC143:AC161,"&lt;0,995")</f>
        <v>2</v>
      </c>
      <c r="W142" s="104">
        <f>COUNTIFS(AC143:AC161,"&lt;0,85")</f>
        <v>2</v>
      </c>
      <c r="X142" s="47"/>
      <c r="Z142" s="94">
        <f>COUNTIFS(AD143:AD161,"&gt;=1,01")</f>
        <v>10</v>
      </c>
      <c r="AA142" s="94">
        <f>COUNTIFS(AD143:AD161,"&gt;=0,99",AD143:AD161,"&lt;1,01")</f>
        <v>3</v>
      </c>
      <c r="AB142" s="95">
        <f>COUNTIFS(AD143:AD161,"&lt;0,99")</f>
        <v>1</v>
      </c>
      <c r="AC142" s="64"/>
      <c r="AD142" s="64"/>
      <c r="AK142" s="45">
        <f>SUM(T142:X142)-R142</f>
        <v>0</v>
      </c>
    </row>
    <row r="143" spans="1:37" ht="33.75" outlineLevel="2" x14ac:dyDescent="0.25">
      <c r="A143" s="236" t="s">
        <v>381</v>
      </c>
      <c r="B143" s="42" t="s">
        <v>382</v>
      </c>
      <c r="C143" s="153" t="s">
        <v>314</v>
      </c>
      <c r="D143" s="244" t="s">
        <v>312</v>
      </c>
      <c r="E143" s="256">
        <v>57.2</v>
      </c>
      <c r="F143" s="148">
        <v>55.5</v>
      </c>
      <c r="G143" s="256">
        <v>62.3</v>
      </c>
      <c r="H143" s="257">
        <f>G143/F143</f>
        <v>1.1225225225225224</v>
      </c>
      <c r="I143" s="257">
        <f>G143/E143</f>
        <v>1.0891608391608392</v>
      </c>
      <c r="J143" s="452" t="s">
        <v>1939</v>
      </c>
      <c r="K143" s="153" t="s">
        <v>41</v>
      </c>
      <c r="L143" s="39" t="s">
        <v>183</v>
      </c>
      <c r="M143" s="40">
        <v>1</v>
      </c>
      <c r="N143" s="41">
        <f t="shared" si="46"/>
        <v>1</v>
      </c>
      <c r="O143" s="41">
        <f t="shared" si="80"/>
        <v>1.0891608391608392</v>
      </c>
      <c r="AC143" s="64">
        <f t="shared" si="45"/>
        <v>1.1225225225225224</v>
      </c>
      <c r="AD143" s="64">
        <f t="shared" si="45"/>
        <v>1.0891608391608392</v>
      </c>
    </row>
    <row r="144" spans="1:37" ht="90" outlineLevel="2" x14ac:dyDescent="0.25">
      <c r="A144" s="236" t="s">
        <v>383</v>
      </c>
      <c r="B144" s="154" t="s">
        <v>384</v>
      </c>
      <c r="C144" s="153" t="s">
        <v>385</v>
      </c>
      <c r="D144" s="244" t="s">
        <v>312</v>
      </c>
      <c r="E144" s="258">
        <v>279.3</v>
      </c>
      <c r="F144" s="148">
        <v>172.5</v>
      </c>
      <c r="G144" s="258">
        <v>293.39999999999998</v>
      </c>
      <c r="H144" s="257">
        <f>G144/F144</f>
        <v>1.7008695652173911</v>
      </c>
      <c r="I144" s="257">
        <f>G144/E144</f>
        <v>1.0504833512352307</v>
      </c>
      <c r="J144" s="153" t="s">
        <v>1944</v>
      </c>
      <c r="K144" s="153" t="s">
        <v>41</v>
      </c>
      <c r="L144" s="39" t="s">
        <v>183</v>
      </c>
      <c r="M144" s="40">
        <v>1</v>
      </c>
      <c r="N144" s="41">
        <f t="shared" si="46"/>
        <v>1</v>
      </c>
      <c r="O144" s="41">
        <f t="shared" si="80"/>
        <v>1.0504833512352307</v>
      </c>
      <c r="AC144" s="64">
        <f t="shared" si="45"/>
        <v>1.7008695652173911</v>
      </c>
      <c r="AD144" s="64">
        <f t="shared" si="45"/>
        <v>1.0504833512352307</v>
      </c>
    </row>
    <row r="145" spans="1:37" s="45" customFormat="1" ht="22.5" customHeight="1" outlineLevel="1" x14ac:dyDescent="0.25">
      <c r="A145" s="65" t="s">
        <v>119</v>
      </c>
      <c r="B145" s="619" t="s">
        <v>862</v>
      </c>
      <c r="C145" s="619"/>
      <c r="D145" s="619"/>
      <c r="E145" s="619"/>
      <c r="F145" s="619"/>
      <c r="G145" s="619"/>
      <c r="H145" s="66">
        <f>AVERAGE(N146:N151)</f>
        <v>0.98928571428571432</v>
      </c>
      <c r="I145" s="66">
        <f>AVERAGE(O146:O151)</f>
        <v>1.0814781355468182</v>
      </c>
      <c r="J145" s="67"/>
      <c r="K145" s="67"/>
      <c r="L145" s="68"/>
      <c r="M145" s="61"/>
      <c r="N145" s="41"/>
      <c r="O145" s="41"/>
      <c r="P145" s="47"/>
      <c r="Q145" s="47"/>
      <c r="R145" s="98">
        <f>COUNTA(C146:C151)</f>
        <v>6</v>
      </c>
      <c r="S145" s="97">
        <v>0</v>
      </c>
      <c r="T145" s="98">
        <f>COUNTIFS(AC146:AC151,"&gt;1,50")</f>
        <v>0</v>
      </c>
      <c r="U145" s="98">
        <f>COUNTIFS(AC146:AC151,"&gt;=0,995",AC146:AC151,"&lt;=1,5")</f>
        <v>5</v>
      </c>
      <c r="V145" s="98">
        <f>COUNTIFS(AC146:AC151,"&gt;=0,85",AC146:AC151,"&lt;0,995")</f>
        <v>1</v>
      </c>
      <c r="W145" s="98">
        <f>COUNTIFS(AC146:AC151,"&lt;0,85")</f>
        <v>0</v>
      </c>
      <c r="X145" s="50"/>
      <c r="Z145" s="90">
        <f>COUNTIFS(AD146:AD151,"&gt;=1,01")</f>
        <v>4</v>
      </c>
      <c r="AA145" s="90">
        <f>COUNTIFS(AD146:AD151,"&gt;=0,99",AD146:AD151,"&lt;1,01")</f>
        <v>2</v>
      </c>
      <c r="AB145" s="91">
        <f>COUNTIFS(AD146:AD151,"&lt;0,99")</f>
        <v>0</v>
      </c>
      <c r="AC145" s="64"/>
      <c r="AD145" s="64"/>
      <c r="AK145" s="45">
        <f>SUM(T145:X145)-R145</f>
        <v>0</v>
      </c>
    </row>
    <row r="146" spans="1:37" ht="51.75" customHeight="1" outlineLevel="2" x14ac:dyDescent="0.25">
      <c r="A146" s="236" t="s">
        <v>120</v>
      </c>
      <c r="B146" s="42" t="s">
        <v>1366</v>
      </c>
      <c r="C146" s="153" t="s">
        <v>314</v>
      </c>
      <c r="D146" s="244" t="s">
        <v>312</v>
      </c>
      <c r="E146" s="258">
        <v>92.3</v>
      </c>
      <c r="F146" s="258">
        <v>94.2</v>
      </c>
      <c r="G146" s="258">
        <v>94.4</v>
      </c>
      <c r="H146" s="257">
        <f t="shared" ref="H146:H151" si="83">G146/F146</f>
        <v>1.0021231422505308</v>
      </c>
      <c r="I146" s="257">
        <f>G146/E146</f>
        <v>1.0227518959913326</v>
      </c>
      <c r="J146" s="452" t="s">
        <v>41</v>
      </c>
      <c r="K146" s="452" t="s">
        <v>41</v>
      </c>
      <c r="L146" s="39" t="s">
        <v>183</v>
      </c>
      <c r="M146" s="40">
        <v>1</v>
      </c>
      <c r="N146" s="41">
        <f t="shared" si="46"/>
        <v>1</v>
      </c>
      <c r="O146" s="41">
        <f t="shared" si="80"/>
        <v>1.0227518959913326</v>
      </c>
      <c r="AC146" s="64">
        <f t="shared" si="45"/>
        <v>1.0021231422505308</v>
      </c>
      <c r="AD146" s="64">
        <f t="shared" si="45"/>
        <v>1.0227518959913326</v>
      </c>
    </row>
    <row r="147" spans="1:37" ht="78.75" outlineLevel="2" x14ac:dyDescent="0.25">
      <c r="A147" s="236" t="s">
        <v>121</v>
      </c>
      <c r="B147" s="42" t="s">
        <v>1367</v>
      </c>
      <c r="C147" s="127" t="s">
        <v>314</v>
      </c>
      <c r="D147" s="244" t="s">
        <v>312</v>
      </c>
      <c r="E147" s="258">
        <v>48.6</v>
      </c>
      <c r="F147" s="258">
        <v>52.5</v>
      </c>
      <c r="G147" s="258">
        <v>56.2</v>
      </c>
      <c r="H147" s="259">
        <f t="shared" si="83"/>
        <v>1.0704761904761906</v>
      </c>
      <c r="I147" s="257">
        <f>G147/E147</f>
        <v>1.1563786008230452</v>
      </c>
      <c r="J147" s="452" t="s">
        <v>1939</v>
      </c>
      <c r="K147" s="452" t="s">
        <v>41</v>
      </c>
      <c r="L147" s="39" t="s">
        <v>183</v>
      </c>
      <c r="M147" s="40">
        <v>1</v>
      </c>
      <c r="N147" s="41">
        <f t="shared" si="46"/>
        <v>1</v>
      </c>
      <c r="O147" s="41">
        <f t="shared" si="80"/>
        <v>1.1563786008230452</v>
      </c>
      <c r="AC147" s="64">
        <f t="shared" si="45"/>
        <v>1.0704761904761906</v>
      </c>
      <c r="AD147" s="64">
        <f t="shared" si="45"/>
        <v>1.1563786008230452</v>
      </c>
    </row>
    <row r="148" spans="1:37" ht="67.5" outlineLevel="2" x14ac:dyDescent="0.25">
      <c r="A148" s="236" t="s">
        <v>122</v>
      </c>
      <c r="B148" s="42" t="s">
        <v>1368</v>
      </c>
      <c r="C148" s="127" t="s">
        <v>314</v>
      </c>
      <c r="D148" s="244" t="s">
        <v>312</v>
      </c>
      <c r="E148" s="258">
        <v>22.1</v>
      </c>
      <c r="F148" s="258">
        <v>25.6</v>
      </c>
      <c r="G148" s="258">
        <v>26</v>
      </c>
      <c r="H148" s="257">
        <f t="shared" si="83"/>
        <v>1.015625</v>
      </c>
      <c r="I148" s="257">
        <f>G148/E148</f>
        <v>1.1764705882352939</v>
      </c>
      <c r="J148" s="452" t="s">
        <v>41</v>
      </c>
      <c r="K148" s="452" t="s">
        <v>41</v>
      </c>
      <c r="L148" s="39" t="s">
        <v>183</v>
      </c>
      <c r="M148" s="40">
        <v>1</v>
      </c>
      <c r="N148" s="41">
        <f t="shared" ref="N148:N161" si="84">IF(H148&gt;1,1,H148)</f>
        <v>1</v>
      </c>
      <c r="O148" s="41">
        <f t="shared" si="80"/>
        <v>1.1764705882352939</v>
      </c>
      <c r="AC148" s="64">
        <f t="shared" ref="AC148:AD215" si="85">H148</f>
        <v>1.015625</v>
      </c>
      <c r="AD148" s="64">
        <f t="shared" si="85"/>
        <v>1.1764705882352939</v>
      </c>
    </row>
    <row r="149" spans="1:37" ht="33.75" outlineLevel="2" x14ac:dyDescent="0.25">
      <c r="A149" s="236" t="s">
        <v>632</v>
      </c>
      <c r="B149" s="42" t="s">
        <v>1369</v>
      </c>
      <c r="C149" s="390" t="s">
        <v>314</v>
      </c>
      <c r="D149" s="244" t="s">
        <v>312</v>
      </c>
      <c r="E149" s="258">
        <v>58.2</v>
      </c>
      <c r="F149" s="258">
        <v>54.4</v>
      </c>
      <c r="G149" s="258">
        <v>66.099999999999994</v>
      </c>
      <c r="H149" s="257">
        <f t="shared" si="83"/>
        <v>1.2150735294117647</v>
      </c>
      <c r="I149" s="257">
        <f>G149/E149</f>
        <v>1.13573883161512</v>
      </c>
      <c r="J149" s="452" t="s">
        <v>1939</v>
      </c>
      <c r="K149" s="452" t="s">
        <v>41</v>
      </c>
      <c r="L149" s="39" t="s">
        <v>183</v>
      </c>
      <c r="M149" s="40">
        <v>1</v>
      </c>
      <c r="N149" s="41">
        <f t="shared" ref="N149:N150" si="86">IF(H149&gt;1,1,H149)</f>
        <v>1</v>
      </c>
      <c r="O149" s="41">
        <f t="shared" ref="O149:O151" si="87">IF(I149&gt;1.25,1.25,I149)</f>
        <v>1.13573883161512</v>
      </c>
      <c r="AC149" s="64">
        <f t="shared" si="85"/>
        <v>1.2150735294117647</v>
      </c>
      <c r="AD149" s="64">
        <f t="shared" si="85"/>
        <v>1.13573883161512</v>
      </c>
    </row>
    <row r="150" spans="1:37" ht="191.25" outlineLevel="2" x14ac:dyDescent="0.25">
      <c r="A150" s="236" t="s">
        <v>1372</v>
      </c>
      <c r="B150" s="42" t="s">
        <v>1370</v>
      </c>
      <c r="C150" s="390" t="s">
        <v>314</v>
      </c>
      <c r="D150" s="244" t="s">
        <v>312</v>
      </c>
      <c r="E150" s="258">
        <v>26.1</v>
      </c>
      <c r="F150" s="258">
        <v>28</v>
      </c>
      <c r="G150" s="258">
        <v>26.2</v>
      </c>
      <c r="H150" s="257">
        <f t="shared" si="83"/>
        <v>0.93571428571428572</v>
      </c>
      <c r="I150" s="257">
        <f t="shared" ref="I150:I151" si="88">G150/E150</f>
        <v>1.0038314176245209</v>
      </c>
      <c r="J150" s="153" t="s">
        <v>1945</v>
      </c>
      <c r="K150" s="153" t="s">
        <v>1946</v>
      </c>
      <c r="L150" s="39" t="s">
        <v>183</v>
      </c>
      <c r="M150" s="40">
        <v>1</v>
      </c>
      <c r="N150" s="41">
        <f t="shared" si="86"/>
        <v>0.93571428571428572</v>
      </c>
      <c r="O150" s="41">
        <f t="shared" si="87"/>
        <v>1.0038314176245209</v>
      </c>
      <c r="AC150" s="64">
        <f t="shared" si="85"/>
        <v>0.93571428571428572</v>
      </c>
      <c r="AD150" s="64">
        <f t="shared" si="85"/>
        <v>1.0038314176245209</v>
      </c>
    </row>
    <row r="151" spans="1:37" ht="45" outlineLevel="2" x14ac:dyDescent="0.25">
      <c r="A151" s="236" t="s">
        <v>1373</v>
      </c>
      <c r="B151" s="42" t="s">
        <v>1371</v>
      </c>
      <c r="C151" s="127" t="s">
        <v>314</v>
      </c>
      <c r="D151" s="244" t="s">
        <v>312</v>
      </c>
      <c r="E151" s="258">
        <v>47.6</v>
      </c>
      <c r="F151" s="258">
        <v>46</v>
      </c>
      <c r="G151" s="258">
        <v>47.3</v>
      </c>
      <c r="H151" s="257">
        <f t="shared" si="83"/>
        <v>1.0282608695652173</v>
      </c>
      <c r="I151" s="257">
        <f t="shared" si="88"/>
        <v>0.99369747899159655</v>
      </c>
      <c r="J151" s="452" t="s">
        <v>41</v>
      </c>
      <c r="K151" s="452" t="s">
        <v>41</v>
      </c>
      <c r="L151" s="39" t="s">
        <v>183</v>
      </c>
      <c r="M151" s="40">
        <v>1</v>
      </c>
      <c r="N151" s="41">
        <f t="shared" si="84"/>
        <v>1</v>
      </c>
      <c r="O151" s="41">
        <f t="shared" si="87"/>
        <v>0.99369747899159655</v>
      </c>
      <c r="AC151" s="64">
        <f t="shared" si="85"/>
        <v>1.0282608695652173</v>
      </c>
      <c r="AD151" s="64">
        <f t="shared" si="85"/>
        <v>0.99369747899159655</v>
      </c>
    </row>
    <row r="152" spans="1:37" s="45" customFormat="1" ht="30.75" customHeight="1" outlineLevel="1" x14ac:dyDescent="0.25">
      <c r="A152" s="65" t="s">
        <v>123</v>
      </c>
      <c r="B152" s="619" t="s">
        <v>863</v>
      </c>
      <c r="C152" s="619"/>
      <c r="D152" s="619"/>
      <c r="E152" s="619"/>
      <c r="F152" s="619"/>
      <c r="G152" s="619"/>
      <c r="H152" s="66">
        <f>AVERAGE(N153:N156)</f>
        <v>0.84807783018867922</v>
      </c>
      <c r="I152" s="66">
        <f>AVERAGE(O153:O156)</f>
        <v>1.0945717261129915</v>
      </c>
      <c r="J152" s="67"/>
      <c r="K152" s="67"/>
      <c r="L152" s="68"/>
      <c r="M152" s="61"/>
      <c r="N152" s="41"/>
      <c r="O152" s="41"/>
      <c r="P152" s="47"/>
      <c r="Q152" s="47"/>
      <c r="R152" s="98">
        <f>COUNTA(C153:C156)</f>
        <v>4</v>
      </c>
      <c r="S152" s="97">
        <v>0</v>
      </c>
      <c r="T152" s="98">
        <f>COUNTIFS(AC153:AC156,"&gt;1,50")</f>
        <v>0</v>
      </c>
      <c r="U152" s="98">
        <f>COUNTIFS(AC153:AC156,"&gt;=0,995",AC153:AC156,"&lt;=1,5")</f>
        <v>2</v>
      </c>
      <c r="V152" s="98">
        <f>COUNTIFS(AC153:AC156,"&gt;=0,85",AC153:AC156,"&lt;0,995")</f>
        <v>1</v>
      </c>
      <c r="W152" s="98">
        <f>COUNTIFS(AC153:AC156,"&lt;0,85")</f>
        <v>1</v>
      </c>
      <c r="X152" s="50"/>
      <c r="Z152" s="90">
        <f>COUNTIFS(AD153:AD156,"&gt;=1,01")</f>
        <v>3</v>
      </c>
      <c r="AA152" s="90">
        <f>COUNTIFS(AD153:AD156,"&gt;=0,99",AD153:AD156,"&lt;1,01")</f>
        <v>0</v>
      </c>
      <c r="AB152" s="91">
        <f>COUNTIFS(AD153:AD156,"&lt;0,99")</f>
        <v>0</v>
      </c>
      <c r="AC152" s="64"/>
      <c r="AD152" s="64"/>
      <c r="AK152" s="45">
        <f>SUM(T152:X152)-R152</f>
        <v>0</v>
      </c>
    </row>
    <row r="153" spans="1:37" ht="33.75" outlineLevel="2" x14ac:dyDescent="0.25">
      <c r="A153" s="236" t="s">
        <v>124</v>
      </c>
      <c r="B153" s="42" t="s">
        <v>864</v>
      </c>
      <c r="C153" s="153" t="s">
        <v>320</v>
      </c>
      <c r="D153" s="244" t="s">
        <v>312</v>
      </c>
      <c r="E153" s="258">
        <v>92</v>
      </c>
      <c r="F153" s="258">
        <v>83</v>
      </c>
      <c r="G153" s="258">
        <v>94</v>
      </c>
      <c r="H153" s="257">
        <f t="shared" ref="H153:H156" si="89">G153/F153</f>
        <v>1.1325301204819278</v>
      </c>
      <c r="I153" s="257">
        <f t="shared" ref="I153:I156" si="90">G153/E153</f>
        <v>1.0217391304347827</v>
      </c>
      <c r="J153" s="452" t="s">
        <v>1123</v>
      </c>
      <c r="K153" s="452" t="s">
        <v>41</v>
      </c>
      <c r="L153" s="39" t="s">
        <v>183</v>
      </c>
      <c r="M153" s="40">
        <v>1</v>
      </c>
      <c r="N153" s="41">
        <f t="shared" si="84"/>
        <v>1</v>
      </c>
      <c r="O153" s="41">
        <f t="shared" si="80"/>
        <v>1.0217391304347827</v>
      </c>
      <c r="AC153" s="64">
        <f t="shared" si="85"/>
        <v>1.1325301204819278</v>
      </c>
      <c r="AD153" s="64">
        <f t="shared" si="85"/>
        <v>1.0217391304347827</v>
      </c>
    </row>
    <row r="154" spans="1:37" ht="78.75" outlineLevel="2" x14ac:dyDescent="0.25">
      <c r="A154" s="236" t="s">
        <v>125</v>
      </c>
      <c r="B154" s="129" t="s">
        <v>388</v>
      </c>
      <c r="C154" s="153" t="s">
        <v>314</v>
      </c>
      <c r="D154" s="153" t="s">
        <v>331</v>
      </c>
      <c r="E154" s="258">
        <v>100</v>
      </c>
      <c r="F154" s="258">
        <v>100</v>
      </c>
      <c r="G154" s="258">
        <v>100</v>
      </c>
      <c r="H154" s="257">
        <f t="shared" si="89"/>
        <v>1</v>
      </c>
      <c r="I154" s="257">
        <f t="shared" si="90"/>
        <v>1</v>
      </c>
      <c r="J154" s="452" t="s">
        <v>41</v>
      </c>
      <c r="K154" s="452" t="s">
        <v>41</v>
      </c>
      <c r="L154" s="39" t="s">
        <v>183</v>
      </c>
      <c r="M154" s="40">
        <v>0</v>
      </c>
      <c r="N154" s="41">
        <f t="shared" si="84"/>
        <v>1</v>
      </c>
      <c r="O154" s="41" t="s">
        <v>41</v>
      </c>
      <c r="AC154" s="64">
        <f t="shared" si="85"/>
        <v>1</v>
      </c>
      <c r="AD154" s="64"/>
    </row>
    <row r="155" spans="1:37" ht="42" customHeight="1" outlineLevel="2" x14ac:dyDescent="0.25">
      <c r="A155" s="236" t="s">
        <v>386</v>
      </c>
      <c r="B155" s="141" t="s">
        <v>1124</v>
      </c>
      <c r="C155" s="153" t="s">
        <v>314</v>
      </c>
      <c r="D155" s="244" t="s">
        <v>312</v>
      </c>
      <c r="E155" s="258">
        <v>16.7</v>
      </c>
      <c r="F155" s="258">
        <v>40</v>
      </c>
      <c r="G155" s="258">
        <v>16.899999999999999</v>
      </c>
      <c r="H155" s="257">
        <f t="shared" si="89"/>
        <v>0.42249999999999999</v>
      </c>
      <c r="I155" s="257">
        <f t="shared" si="90"/>
        <v>1.0119760479041915</v>
      </c>
      <c r="J155" s="452" t="s">
        <v>1940</v>
      </c>
      <c r="K155" s="452" t="s">
        <v>1374</v>
      </c>
      <c r="L155" s="39" t="s">
        <v>183</v>
      </c>
      <c r="M155" s="40">
        <v>1</v>
      </c>
      <c r="N155" s="41">
        <f t="shared" si="84"/>
        <v>0.42249999999999999</v>
      </c>
      <c r="O155" s="41">
        <f t="shared" si="80"/>
        <v>1.0119760479041915</v>
      </c>
      <c r="AC155" s="64">
        <f t="shared" si="85"/>
        <v>0.42249999999999999</v>
      </c>
      <c r="AD155" s="64">
        <f t="shared" si="85"/>
        <v>1.0119760479041915</v>
      </c>
    </row>
    <row r="156" spans="1:37" ht="74.25" customHeight="1" outlineLevel="2" x14ac:dyDescent="0.25">
      <c r="A156" s="236" t="s">
        <v>387</v>
      </c>
      <c r="B156" s="141" t="s">
        <v>865</v>
      </c>
      <c r="C156" s="153" t="s">
        <v>314</v>
      </c>
      <c r="D156" s="244" t="s">
        <v>312</v>
      </c>
      <c r="E156" s="258">
        <v>29</v>
      </c>
      <c r="F156" s="258">
        <v>53</v>
      </c>
      <c r="G156" s="258">
        <v>51.4</v>
      </c>
      <c r="H156" s="257">
        <f t="shared" si="89"/>
        <v>0.96981132075471699</v>
      </c>
      <c r="I156" s="257">
        <f t="shared" si="90"/>
        <v>1.7724137931034483</v>
      </c>
      <c r="J156" s="452" t="s">
        <v>1947</v>
      </c>
      <c r="K156" s="452" t="s">
        <v>41</v>
      </c>
      <c r="L156" s="39" t="s">
        <v>183</v>
      </c>
      <c r="M156" s="40">
        <v>1</v>
      </c>
      <c r="N156" s="41">
        <f t="shared" si="84"/>
        <v>0.96981132075471699</v>
      </c>
      <c r="O156" s="41">
        <f t="shared" si="80"/>
        <v>1.25</v>
      </c>
      <c r="AC156" s="64">
        <f t="shared" si="85"/>
        <v>0.96981132075471699</v>
      </c>
      <c r="AD156" s="64">
        <f t="shared" si="85"/>
        <v>1.7724137931034483</v>
      </c>
    </row>
    <row r="157" spans="1:37" s="45" customFormat="1" outlineLevel="1" x14ac:dyDescent="0.25">
      <c r="A157" s="65" t="s">
        <v>126</v>
      </c>
      <c r="B157" s="619" t="s">
        <v>389</v>
      </c>
      <c r="C157" s="619"/>
      <c r="D157" s="619"/>
      <c r="E157" s="619"/>
      <c r="F157" s="619"/>
      <c r="G157" s="619"/>
      <c r="H157" s="66">
        <f>AVERAGE(N158:N161)</f>
        <v>0.85087719298245612</v>
      </c>
      <c r="I157" s="66">
        <f>AVERAGE(O158:O161)</f>
        <v>0.81229644400132939</v>
      </c>
      <c r="J157" s="67"/>
      <c r="K157" s="67"/>
      <c r="L157" s="68"/>
      <c r="M157" s="61"/>
      <c r="N157" s="41"/>
      <c r="O157" s="41"/>
      <c r="P157" s="47"/>
      <c r="Q157" s="47"/>
      <c r="R157" s="98">
        <f>COUNTA(C158:C161)</f>
        <v>4</v>
      </c>
      <c r="S157" s="97">
        <v>0</v>
      </c>
      <c r="T157" s="98">
        <f>COUNTIFS(AC158:AC161,"&gt;1,50")</f>
        <v>0</v>
      </c>
      <c r="U157" s="98">
        <f>COUNTIFS(AC158:AC161,"&gt;=0,995",AC158:AC161,"&lt;=1,5")</f>
        <v>3</v>
      </c>
      <c r="V157" s="98">
        <f>COUNTIFS(AC158:AC161,"&gt;=0,85",AC158:AC161,"&lt;0,995")</f>
        <v>0</v>
      </c>
      <c r="W157" s="98">
        <f>COUNTIFS(AC158:AC161,"&lt;0,85")</f>
        <v>1</v>
      </c>
      <c r="X157" s="50"/>
      <c r="Z157" s="90">
        <f>COUNTIFS(AD158:AD161,"&gt;=1,01")</f>
        <v>1</v>
      </c>
      <c r="AA157" s="90">
        <f>COUNTIFS(AD158:AD161,"&gt;=0,99",AD158:AD161,"&lt;1,01")</f>
        <v>1</v>
      </c>
      <c r="AB157" s="91">
        <f>COUNTIFS(AD158:AD161,"&lt;0,99")</f>
        <v>1</v>
      </c>
      <c r="AC157" s="64"/>
      <c r="AD157" s="64"/>
      <c r="AK157" s="45">
        <f>SUM(T157:X157)-R157</f>
        <v>0</v>
      </c>
    </row>
    <row r="158" spans="1:37" ht="33.75" outlineLevel="2" x14ac:dyDescent="0.25">
      <c r="A158" s="236" t="s">
        <v>127</v>
      </c>
      <c r="B158" s="154" t="s">
        <v>390</v>
      </c>
      <c r="C158" s="153" t="s">
        <v>314</v>
      </c>
      <c r="D158" s="244" t="s">
        <v>312</v>
      </c>
      <c r="E158" s="258">
        <v>59.5</v>
      </c>
      <c r="F158" s="258">
        <v>62.1</v>
      </c>
      <c r="G158" s="258">
        <v>62.3</v>
      </c>
      <c r="H158" s="257">
        <f>G158/F158</f>
        <v>1.0032206119162641</v>
      </c>
      <c r="I158" s="257">
        <f>G158/E158</f>
        <v>1.0470588235294118</v>
      </c>
      <c r="J158" s="452" t="s">
        <v>1948</v>
      </c>
      <c r="K158" s="153" t="s">
        <v>41</v>
      </c>
      <c r="L158" s="39" t="s">
        <v>183</v>
      </c>
      <c r="M158" s="40">
        <v>1</v>
      </c>
      <c r="N158" s="41">
        <f t="shared" si="84"/>
        <v>1</v>
      </c>
      <c r="O158" s="41">
        <f t="shared" si="80"/>
        <v>1.0470588235294118</v>
      </c>
      <c r="AC158" s="64">
        <f t="shared" si="85"/>
        <v>1.0032206119162641</v>
      </c>
      <c r="AD158" s="64">
        <f t="shared" si="85"/>
        <v>1.0470588235294118</v>
      </c>
    </row>
    <row r="159" spans="1:37" ht="33.75" outlineLevel="2" x14ac:dyDescent="0.25">
      <c r="A159" s="236" t="s">
        <v>128</v>
      </c>
      <c r="B159" s="154" t="s">
        <v>394</v>
      </c>
      <c r="C159" s="127" t="s">
        <v>334</v>
      </c>
      <c r="D159" s="244" t="s">
        <v>312</v>
      </c>
      <c r="E159" s="258">
        <v>59</v>
      </c>
      <c r="F159" s="258">
        <v>57</v>
      </c>
      <c r="G159" s="258">
        <v>23</v>
      </c>
      <c r="H159" s="257">
        <f>G159/F159</f>
        <v>0.40350877192982454</v>
      </c>
      <c r="I159" s="257">
        <f>G159/E159</f>
        <v>0.38983050847457629</v>
      </c>
      <c r="J159" s="452" t="s">
        <v>1942</v>
      </c>
      <c r="K159" s="452" t="s">
        <v>1941</v>
      </c>
      <c r="L159" s="39" t="s">
        <v>183</v>
      </c>
      <c r="M159" s="40">
        <v>1</v>
      </c>
      <c r="N159" s="41">
        <f t="shared" si="84"/>
        <v>0.40350877192982454</v>
      </c>
      <c r="O159" s="41">
        <f t="shared" si="80"/>
        <v>0.38983050847457629</v>
      </c>
      <c r="AC159" s="64">
        <f t="shared" si="85"/>
        <v>0.40350877192982454</v>
      </c>
      <c r="AD159" s="64">
        <f t="shared" si="85"/>
        <v>0.38983050847457629</v>
      </c>
    </row>
    <row r="160" spans="1:37" ht="33.75" outlineLevel="2" x14ac:dyDescent="0.25">
      <c r="A160" s="236" t="s">
        <v>129</v>
      </c>
      <c r="B160" s="154" t="s">
        <v>391</v>
      </c>
      <c r="C160" s="153" t="s">
        <v>314</v>
      </c>
      <c r="D160" s="244" t="s">
        <v>312</v>
      </c>
      <c r="E160" s="258">
        <v>65.5</v>
      </c>
      <c r="F160" s="258">
        <v>61.5</v>
      </c>
      <c r="G160" s="258">
        <v>65.5</v>
      </c>
      <c r="H160" s="257">
        <f>G160/F160</f>
        <v>1.065040650406504</v>
      </c>
      <c r="I160" s="257">
        <f>G160/E160</f>
        <v>1</v>
      </c>
      <c r="J160" s="452" t="s">
        <v>1949</v>
      </c>
      <c r="K160" s="153" t="s">
        <v>41</v>
      </c>
      <c r="L160" s="39" t="s">
        <v>183</v>
      </c>
      <c r="M160" s="40">
        <v>1</v>
      </c>
      <c r="N160" s="41">
        <f t="shared" si="84"/>
        <v>1</v>
      </c>
      <c r="O160" s="41">
        <f t="shared" si="80"/>
        <v>1</v>
      </c>
      <c r="AC160" s="64">
        <f t="shared" si="85"/>
        <v>1.065040650406504</v>
      </c>
      <c r="AD160" s="64">
        <f t="shared" si="85"/>
        <v>1</v>
      </c>
    </row>
    <row r="161" spans="1:37" ht="33.75" outlineLevel="2" x14ac:dyDescent="0.25">
      <c r="A161" s="236" t="s">
        <v>393</v>
      </c>
      <c r="B161" s="42" t="s">
        <v>392</v>
      </c>
      <c r="C161" s="127" t="s">
        <v>320</v>
      </c>
      <c r="D161" s="153" t="s">
        <v>331</v>
      </c>
      <c r="E161" s="258">
        <v>2174</v>
      </c>
      <c r="F161" s="258">
        <v>2002</v>
      </c>
      <c r="G161" s="258">
        <v>2144</v>
      </c>
      <c r="H161" s="257">
        <f>G161/F161</f>
        <v>1.0709290709290709</v>
      </c>
      <c r="I161" s="257">
        <f>G161/E161</f>
        <v>0.98620055197792089</v>
      </c>
      <c r="J161" s="452" t="s">
        <v>1948</v>
      </c>
      <c r="K161" s="127" t="s">
        <v>41</v>
      </c>
      <c r="L161" s="39" t="s">
        <v>183</v>
      </c>
      <c r="M161" s="40">
        <v>0</v>
      </c>
      <c r="N161" s="41">
        <f t="shared" si="84"/>
        <v>1</v>
      </c>
      <c r="O161" s="41" t="s">
        <v>41</v>
      </c>
      <c r="AC161" s="64">
        <f t="shared" si="85"/>
        <v>1.0709290709290709</v>
      </c>
      <c r="AD161" s="64"/>
    </row>
    <row r="162" spans="1:37" s="45" customFormat="1" ht="18" customHeight="1" x14ac:dyDescent="0.25">
      <c r="A162" s="401">
        <v>5</v>
      </c>
      <c r="B162" s="624" t="s">
        <v>733</v>
      </c>
      <c r="C162" s="624"/>
      <c r="D162" s="624"/>
      <c r="E162" s="624"/>
      <c r="F162" s="624"/>
      <c r="G162" s="624"/>
      <c r="H162" s="402">
        <f>AVERAGE(N163:N169,N171:N176,N178:N179,N181:N188)</f>
        <v>0.94396874773419737</v>
      </c>
      <c r="I162" s="402">
        <f>AVERAGE(O163:O169,O171:O176,O178:O179,O181:O188)</f>
        <v>1.0372565927526198</v>
      </c>
      <c r="J162" s="403"/>
      <c r="K162" s="403"/>
      <c r="L162" s="404"/>
      <c r="M162" s="61"/>
      <c r="N162" s="188"/>
      <c r="O162" s="188"/>
      <c r="P162" s="47"/>
      <c r="Q162" s="47"/>
      <c r="R162" s="104">
        <f>COUNTA(C163:C188)</f>
        <v>23</v>
      </c>
      <c r="S162" s="96">
        <v>3</v>
      </c>
      <c r="T162" s="104">
        <f>COUNTIFS(AC163:AC188,"&gt;1,50")</f>
        <v>3</v>
      </c>
      <c r="U162" s="104">
        <f>COUNTIFS(AC163:AC188,"&gt;=0,995",AC163:AC188,"&lt;=1,5")</f>
        <v>11</v>
      </c>
      <c r="V162" s="104">
        <f>COUNTIFS(AC163:AC188,"&gt;=0,85",AC163:AC188,"&lt;0,995")</f>
        <v>4</v>
      </c>
      <c r="W162" s="104">
        <f>COUNTIFS(AC163:AC188,"&lt;0,85")</f>
        <v>2</v>
      </c>
      <c r="X162" s="47"/>
      <c r="Z162" s="94">
        <f>COUNTIFS(AD163:AD188,"&gt;=1,01")</f>
        <v>8</v>
      </c>
      <c r="AA162" s="94">
        <f>COUNTIFS(AD163:AD188,"&gt;=0,99",AD163:AD188,"&lt;1,01")</f>
        <v>1</v>
      </c>
      <c r="AB162" s="95">
        <f>COUNTIFS(AD163:AD188,"&lt;0,99")</f>
        <v>4</v>
      </c>
      <c r="AC162" s="64"/>
      <c r="AD162" s="64"/>
      <c r="AK162" s="45">
        <f>SUM(T162:X162)-R162</f>
        <v>-3</v>
      </c>
    </row>
    <row r="163" spans="1:37" ht="45" outlineLevel="2" x14ac:dyDescent="0.25">
      <c r="A163" s="236" t="s">
        <v>396</v>
      </c>
      <c r="B163" s="141" t="s">
        <v>735</v>
      </c>
      <c r="C163" s="140" t="s">
        <v>736</v>
      </c>
      <c r="D163" s="244" t="s">
        <v>312</v>
      </c>
      <c r="E163" s="140" t="s">
        <v>41</v>
      </c>
      <c r="F163" s="140">
        <v>4.33</v>
      </c>
      <c r="G163" s="140" t="s">
        <v>41</v>
      </c>
      <c r="H163" s="257" t="s">
        <v>41</v>
      </c>
      <c r="I163" s="257" t="s">
        <v>41</v>
      </c>
      <c r="J163" s="439" t="s">
        <v>1558</v>
      </c>
      <c r="K163" s="439" t="s">
        <v>1813</v>
      </c>
      <c r="L163" s="39" t="s">
        <v>182</v>
      </c>
      <c r="M163" s="40">
        <v>1</v>
      </c>
      <c r="N163" s="41" t="s">
        <v>41</v>
      </c>
      <c r="O163" s="41" t="s">
        <v>41</v>
      </c>
      <c r="T163" s="97" t="s">
        <v>1838</v>
      </c>
      <c r="AC163" s="64" t="str">
        <f t="shared" ref="AC163" si="91">H163</f>
        <v>-</v>
      </c>
      <c r="AD163" s="64" t="str">
        <f t="shared" ref="AD163" si="92">I163</f>
        <v>-</v>
      </c>
    </row>
    <row r="164" spans="1:37" ht="33.75" outlineLevel="2" x14ac:dyDescent="0.25">
      <c r="A164" s="236" t="s">
        <v>1270</v>
      </c>
      <c r="B164" s="141" t="s">
        <v>1266</v>
      </c>
      <c r="C164" s="140" t="s">
        <v>734</v>
      </c>
      <c r="D164" s="244" t="s">
        <v>312</v>
      </c>
      <c r="E164" s="140">
        <v>88</v>
      </c>
      <c r="F164" s="140">
        <v>93.5</v>
      </c>
      <c r="G164" s="140">
        <v>93.5</v>
      </c>
      <c r="H164" s="257">
        <f t="shared" ref="H164:H168" si="93">G164/F164</f>
        <v>1</v>
      </c>
      <c r="I164" s="257">
        <f>G164/E164</f>
        <v>1.0625</v>
      </c>
      <c r="J164" s="439" t="s">
        <v>1814</v>
      </c>
      <c r="K164" s="439" t="s">
        <v>41</v>
      </c>
      <c r="L164" s="39" t="s">
        <v>182</v>
      </c>
      <c r="M164" s="40">
        <v>1</v>
      </c>
      <c r="N164" s="41" t="s">
        <v>41</v>
      </c>
      <c r="O164" s="41" t="s">
        <v>41</v>
      </c>
      <c r="AC164" s="64"/>
      <c r="AD164" s="64"/>
    </row>
    <row r="165" spans="1:37" ht="67.5" outlineLevel="2" x14ac:dyDescent="0.25">
      <c r="A165" s="236" t="s">
        <v>1271</v>
      </c>
      <c r="B165" s="141" t="s">
        <v>1809</v>
      </c>
      <c r="C165" s="140" t="s">
        <v>734</v>
      </c>
      <c r="D165" s="244" t="s">
        <v>312</v>
      </c>
      <c r="E165" s="140">
        <v>84.3</v>
      </c>
      <c r="F165" s="140">
        <v>86.9</v>
      </c>
      <c r="G165" s="140">
        <v>82.2</v>
      </c>
      <c r="H165" s="257">
        <f t="shared" si="93"/>
        <v>0.94591484464902187</v>
      </c>
      <c r="I165" s="257">
        <f>G165/E165</f>
        <v>0.97508896797153033</v>
      </c>
      <c r="J165" s="439" t="s">
        <v>1815</v>
      </c>
      <c r="K165" s="439" t="s">
        <v>1816</v>
      </c>
      <c r="L165" s="39" t="s">
        <v>182</v>
      </c>
      <c r="M165" s="40">
        <v>1</v>
      </c>
      <c r="N165" s="41">
        <f t="shared" ref="N165" si="94">IF(H165&gt;1,1,H165)</f>
        <v>0.94591484464902187</v>
      </c>
      <c r="O165" s="41">
        <f t="shared" ref="O165" si="95">IF(I165&gt;1.25,1.25,I165)</f>
        <v>0.97508896797153033</v>
      </c>
      <c r="AC165" s="64">
        <f t="shared" ref="AC165:AC169" si="96">H165</f>
        <v>0.94591484464902187</v>
      </c>
      <c r="AD165" s="64">
        <f t="shared" ref="AD165:AD169" si="97">I165</f>
        <v>0.97508896797153033</v>
      </c>
    </row>
    <row r="166" spans="1:37" ht="56.25" outlineLevel="2" x14ac:dyDescent="0.25">
      <c r="A166" s="236" t="s">
        <v>1272</v>
      </c>
      <c r="B166" s="141" t="s">
        <v>1267</v>
      </c>
      <c r="C166" s="140" t="s">
        <v>353</v>
      </c>
      <c r="D166" s="244" t="s">
        <v>312</v>
      </c>
      <c r="E166" s="140">
        <v>11</v>
      </c>
      <c r="F166" s="140">
        <v>15</v>
      </c>
      <c r="G166" s="140">
        <v>14</v>
      </c>
      <c r="H166" s="257">
        <f t="shared" si="93"/>
        <v>0.93333333333333335</v>
      </c>
      <c r="I166" s="257">
        <f>G166/E166</f>
        <v>1.2727272727272727</v>
      </c>
      <c r="J166" s="439" t="s">
        <v>1817</v>
      </c>
      <c r="K166" s="439" t="s">
        <v>1818</v>
      </c>
      <c r="L166" s="39" t="s">
        <v>182</v>
      </c>
      <c r="M166" s="40">
        <v>1</v>
      </c>
      <c r="N166" s="41">
        <f t="shared" ref="N166:N168" si="98">IF(H166&gt;1,1,H166)</f>
        <v>0.93333333333333335</v>
      </c>
      <c r="O166" s="41" t="s">
        <v>41</v>
      </c>
      <c r="AC166" s="64">
        <f t="shared" si="96"/>
        <v>0.93333333333333335</v>
      </c>
      <c r="AD166" s="64"/>
    </row>
    <row r="167" spans="1:37" ht="22.5" outlineLevel="2" x14ac:dyDescent="0.25">
      <c r="A167" s="236" t="s">
        <v>1273</v>
      </c>
      <c r="B167" s="141" t="s">
        <v>1268</v>
      </c>
      <c r="C167" s="140" t="s">
        <v>353</v>
      </c>
      <c r="D167" s="244" t="s">
        <v>312</v>
      </c>
      <c r="E167" s="140">
        <v>46</v>
      </c>
      <c r="F167" s="140">
        <v>49</v>
      </c>
      <c r="G167" s="140">
        <v>49</v>
      </c>
      <c r="H167" s="257">
        <f t="shared" si="93"/>
        <v>1</v>
      </c>
      <c r="I167" s="257">
        <f>G167/E167</f>
        <v>1.0652173913043479</v>
      </c>
      <c r="J167" s="439" t="s">
        <v>41</v>
      </c>
      <c r="K167" s="439" t="s">
        <v>41</v>
      </c>
      <c r="L167" s="39" t="s">
        <v>182</v>
      </c>
      <c r="M167" s="40">
        <v>1</v>
      </c>
      <c r="N167" s="41">
        <f t="shared" si="98"/>
        <v>1</v>
      </c>
      <c r="O167" s="41" t="s">
        <v>41</v>
      </c>
      <c r="AC167" s="64">
        <f t="shared" si="96"/>
        <v>1</v>
      </c>
      <c r="AD167" s="64"/>
    </row>
    <row r="168" spans="1:37" ht="90" outlineLevel="2" x14ac:dyDescent="0.25">
      <c r="A168" s="236" t="s">
        <v>1274</v>
      </c>
      <c r="B168" s="141" t="s">
        <v>1269</v>
      </c>
      <c r="C168" s="140" t="s">
        <v>734</v>
      </c>
      <c r="D168" s="244" t="s">
        <v>312</v>
      </c>
      <c r="E168" s="140">
        <v>100</v>
      </c>
      <c r="F168" s="140">
        <v>100</v>
      </c>
      <c r="G168" s="140">
        <v>89</v>
      </c>
      <c r="H168" s="257">
        <f t="shared" si="93"/>
        <v>0.89</v>
      </c>
      <c r="I168" s="257">
        <f>G168/E168</f>
        <v>0.89</v>
      </c>
      <c r="J168" s="439" t="s">
        <v>1819</v>
      </c>
      <c r="K168" s="439" t="s">
        <v>41</v>
      </c>
      <c r="L168" s="39" t="s">
        <v>182</v>
      </c>
      <c r="M168" s="40">
        <v>1</v>
      </c>
      <c r="N168" s="41">
        <f t="shared" si="98"/>
        <v>0.89</v>
      </c>
      <c r="O168" s="41">
        <f t="shared" ref="O168" si="99">IF(I168&gt;1.25,1.25,I168)</f>
        <v>0.89</v>
      </c>
      <c r="AC168" s="64">
        <f t="shared" si="96"/>
        <v>0.89</v>
      </c>
      <c r="AD168" s="64">
        <f t="shared" si="97"/>
        <v>0.89</v>
      </c>
    </row>
    <row r="169" spans="1:37" ht="26.25" customHeight="1" outlineLevel="2" x14ac:dyDescent="0.25">
      <c r="A169" s="236" t="s">
        <v>1810</v>
      </c>
      <c r="B169" s="141" t="s">
        <v>1812</v>
      </c>
      <c r="C169" s="140" t="s">
        <v>1811</v>
      </c>
      <c r="D169" s="244" t="s">
        <v>312</v>
      </c>
      <c r="E169" s="140" t="s">
        <v>41</v>
      </c>
      <c r="F169" s="140">
        <v>13918</v>
      </c>
      <c r="G169" s="140">
        <v>14205</v>
      </c>
      <c r="H169" s="257">
        <f t="shared" ref="H169" si="100">G169/F169</f>
        <v>1.0206207788475357</v>
      </c>
      <c r="I169" s="257" t="s">
        <v>41</v>
      </c>
      <c r="J169" s="439" t="s">
        <v>41</v>
      </c>
      <c r="K169" s="439" t="s">
        <v>41</v>
      </c>
      <c r="L169" s="39" t="s">
        <v>182</v>
      </c>
      <c r="M169" s="40">
        <v>1</v>
      </c>
      <c r="N169" s="41">
        <f t="shared" ref="N169" si="101">IF(H169&gt;1,1,H169)</f>
        <v>1</v>
      </c>
      <c r="O169" s="41" t="s">
        <v>41</v>
      </c>
      <c r="AC169" s="64">
        <f t="shared" si="96"/>
        <v>1.0206207788475357</v>
      </c>
      <c r="AD169" s="64" t="str">
        <f t="shared" si="97"/>
        <v>-</v>
      </c>
    </row>
    <row r="170" spans="1:37" s="45" customFormat="1" outlineLevel="1" x14ac:dyDescent="0.25">
      <c r="A170" s="65" t="s">
        <v>130</v>
      </c>
      <c r="B170" s="619" t="s">
        <v>397</v>
      </c>
      <c r="C170" s="619"/>
      <c r="D170" s="619"/>
      <c r="E170" s="619"/>
      <c r="F170" s="619"/>
      <c r="G170" s="619"/>
      <c r="H170" s="66">
        <f>AVERAGE(N171:N176)</f>
        <v>1</v>
      </c>
      <c r="I170" s="66">
        <f>AVERAGE(O171:O176)</f>
        <v>1.0238708386414808</v>
      </c>
      <c r="J170" s="67"/>
      <c r="K170" s="67"/>
      <c r="L170" s="68"/>
      <c r="M170" s="61"/>
      <c r="N170" s="188"/>
      <c r="O170" s="188"/>
      <c r="P170" s="47"/>
      <c r="Q170" s="47"/>
      <c r="R170" s="98">
        <f>COUNTA(C171:C176)</f>
        <v>6</v>
      </c>
      <c r="S170" s="97">
        <v>0</v>
      </c>
      <c r="T170" s="98">
        <f>COUNTIFS(AC171:AC176,"&gt;1,50")</f>
        <v>1</v>
      </c>
      <c r="U170" s="98">
        <f>COUNTIFS(AC171:AC176,"&gt;=0,995",AC171:AC176,"&lt;=1,5")</f>
        <v>5</v>
      </c>
      <c r="V170" s="98">
        <f>COUNTIFS(AC171:AC176,"&gt;=0,85",AC171:AC176,"&lt;0,995")</f>
        <v>0</v>
      </c>
      <c r="W170" s="98">
        <f>COUNTIFS(AC171:AC176,"&lt;0,85")</f>
        <v>0</v>
      </c>
      <c r="X170" s="50"/>
      <c r="Z170" s="90">
        <f>COUNTIFS(AD171:AD176,"&gt;=1,01")</f>
        <v>3</v>
      </c>
      <c r="AA170" s="90">
        <f>COUNTIFS(AD171:AD176,"&gt;=0,99",AD171:AD176,"&lt;1,01")</f>
        <v>1</v>
      </c>
      <c r="AB170" s="91">
        <f>COUNTIFS(AD171:AD176,"&lt;0,99")</f>
        <v>1</v>
      </c>
      <c r="AC170" s="64"/>
      <c r="AD170" s="64"/>
      <c r="AK170" s="45">
        <f>SUM(T170:X170)-R170</f>
        <v>0</v>
      </c>
    </row>
    <row r="171" spans="1:37" ht="69.75" customHeight="1" outlineLevel="2" x14ac:dyDescent="0.25">
      <c r="A171" s="236" t="s">
        <v>131</v>
      </c>
      <c r="B171" s="141" t="s">
        <v>737</v>
      </c>
      <c r="C171" s="140" t="s">
        <v>734</v>
      </c>
      <c r="D171" s="244" t="s">
        <v>312</v>
      </c>
      <c r="E171" s="140">
        <v>66</v>
      </c>
      <c r="F171" s="140">
        <v>61.8</v>
      </c>
      <c r="G171" s="140">
        <v>61.8</v>
      </c>
      <c r="H171" s="257">
        <f t="shared" ref="H171:H175" si="102">G171/F171</f>
        <v>1</v>
      </c>
      <c r="I171" s="257">
        <f>G171/E171</f>
        <v>0.93636363636363629</v>
      </c>
      <c r="J171" s="439" t="s">
        <v>41</v>
      </c>
      <c r="K171" s="439" t="s">
        <v>41</v>
      </c>
      <c r="L171" s="39" t="s">
        <v>182</v>
      </c>
      <c r="M171" s="40">
        <v>1</v>
      </c>
      <c r="N171" s="41">
        <f t="shared" ref="N171:N188" si="103">IF(H171&gt;1,1,H171)</f>
        <v>1</v>
      </c>
      <c r="O171" s="41">
        <f t="shared" ref="O171:O175" si="104">IF(I171&gt;1.25,1.25,I171)</f>
        <v>0.93636363636363629</v>
      </c>
      <c r="AC171" s="64">
        <f t="shared" si="85"/>
        <v>1</v>
      </c>
      <c r="AD171" s="64">
        <f t="shared" si="85"/>
        <v>0.93636363636363629</v>
      </c>
    </row>
    <row r="172" spans="1:37" ht="33.75" outlineLevel="2" x14ac:dyDescent="0.25">
      <c r="A172" s="236" t="s">
        <v>132</v>
      </c>
      <c r="B172" s="142" t="s">
        <v>738</v>
      </c>
      <c r="C172" s="140" t="s">
        <v>734</v>
      </c>
      <c r="D172" s="244" t="s">
        <v>312</v>
      </c>
      <c r="E172" s="140">
        <v>39</v>
      </c>
      <c r="F172" s="140">
        <v>36.4</v>
      </c>
      <c r="G172" s="140">
        <v>39.1</v>
      </c>
      <c r="H172" s="257">
        <f t="shared" si="102"/>
        <v>1.0741758241758244</v>
      </c>
      <c r="I172" s="257">
        <f t="shared" ref="I172:I173" si="105">G172/E172</f>
        <v>1.0025641025641026</v>
      </c>
      <c r="J172" s="439" t="s">
        <v>1822</v>
      </c>
      <c r="K172" s="439" t="s">
        <v>41</v>
      </c>
      <c r="L172" s="39" t="s">
        <v>182</v>
      </c>
      <c r="M172" s="40">
        <v>1</v>
      </c>
      <c r="N172" s="41">
        <f t="shared" si="103"/>
        <v>1</v>
      </c>
      <c r="O172" s="41">
        <f t="shared" si="104"/>
        <v>1.0025641025641026</v>
      </c>
      <c r="AC172" s="64">
        <f t="shared" si="85"/>
        <v>1.0741758241758244</v>
      </c>
      <c r="AD172" s="64">
        <f t="shared" si="85"/>
        <v>1.0025641025641026</v>
      </c>
    </row>
    <row r="173" spans="1:37" ht="45" outlineLevel="2" x14ac:dyDescent="0.25">
      <c r="A173" s="236" t="s">
        <v>398</v>
      </c>
      <c r="B173" s="142" t="s">
        <v>739</v>
      </c>
      <c r="C173" s="140" t="s">
        <v>432</v>
      </c>
      <c r="D173" s="244" t="s">
        <v>312</v>
      </c>
      <c r="E173" s="140">
        <v>545</v>
      </c>
      <c r="F173" s="140">
        <v>550</v>
      </c>
      <c r="G173" s="140">
        <v>552</v>
      </c>
      <c r="H173" s="257">
        <f t="shared" si="102"/>
        <v>1.0036363636363637</v>
      </c>
      <c r="I173" s="257">
        <f t="shared" si="105"/>
        <v>1.0128440366972478</v>
      </c>
      <c r="J173" s="439" t="s">
        <v>41</v>
      </c>
      <c r="K173" s="439" t="s">
        <v>41</v>
      </c>
      <c r="L173" s="39" t="s">
        <v>182</v>
      </c>
      <c r="M173" s="40">
        <v>1</v>
      </c>
      <c r="N173" s="41">
        <f t="shared" si="103"/>
        <v>1</v>
      </c>
      <c r="O173" s="41">
        <f t="shared" si="104"/>
        <v>1.0128440366972478</v>
      </c>
      <c r="AC173" s="64">
        <f t="shared" si="85"/>
        <v>1.0036363636363637</v>
      </c>
      <c r="AD173" s="64">
        <f t="shared" si="85"/>
        <v>1.0128440366972478</v>
      </c>
    </row>
    <row r="174" spans="1:37" ht="56.25" outlineLevel="2" x14ac:dyDescent="0.25">
      <c r="A174" s="236" t="s">
        <v>399</v>
      </c>
      <c r="B174" s="142" t="s">
        <v>740</v>
      </c>
      <c r="C174" s="140" t="s">
        <v>734</v>
      </c>
      <c r="D174" s="244" t="s">
        <v>312</v>
      </c>
      <c r="E174" s="140">
        <v>8.4</v>
      </c>
      <c r="F174" s="140">
        <v>8.5</v>
      </c>
      <c r="G174" s="140">
        <v>8.6999999999999993</v>
      </c>
      <c r="H174" s="257">
        <f t="shared" si="102"/>
        <v>1.0235294117647058</v>
      </c>
      <c r="I174" s="257">
        <f>G174/E174</f>
        <v>1.0357142857142856</v>
      </c>
      <c r="J174" s="439" t="s">
        <v>41</v>
      </c>
      <c r="K174" s="439" t="s">
        <v>41</v>
      </c>
      <c r="L174" s="39" t="s">
        <v>182</v>
      </c>
      <c r="M174" s="40">
        <v>1</v>
      </c>
      <c r="N174" s="41">
        <f t="shared" si="103"/>
        <v>1</v>
      </c>
      <c r="O174" s="41">
        <f t="shared" si="104"/>
        <v>1.0357142857142856</v>
      </c>
      <c r="AC174" s="64">
        <f t="shared" si="85"/>
        <v>1.0235294117647058</v>
      </c>
      <c r="AD174" s="64">
        <f t="shared" si="85"/>
        <v>1.0357142857142856</v>
      </c>
    </row>
    <row r="175" spans="1:37" ht="33.75" outlineLevel="2" x14ac:dyDescent="0.25">
      <c r="A175" s="236" t="s">
        <v>400</v>
      </c>
      <c r="B175" s="203" t="s">
        <v>741</v>
      </c>
      <c r="C175" s="140" t="s">
        <v>734</v>
      </c>
      <c r="D175" s="244" t="s">
        <v>312</v>
      </c>
      <c r="E175" s="140">
        <v>9.1</v>
      </c>
      <c r="F175" s="140">
        <v>6.7</v>
      </c>
      <c r="G175" s="140">
        <v>10.3</v>
      </c>
      <c r="H175" s="257">
        <f t="shared" si="102"/>
        <v>1.5373134328358209</v>
      </c>
      <c r="I175" s="257">
        <f>G175/E175</f>
        <v>1.1318681318681321</v>
      </c>
      <c r="J175" s="439" t="s">
        <v>1823</v>
      </c>
      <c r="K175" s="439" t="s">
        <v>41</v>
      </c>
      <c r="L175" s="39" t="s">
        <v>182</v>
      </c>
      <c r="M175" s="40">
        <v>1</v>
      </c>
      <c r="N175" s="41">
        <f t="shared" si="103"/>
        <v>1</v>
      </c>
      <c r="O175" s="41">
        <f t="shared" si="104"/>
        <v>1.1318681318681321</v>
      </c>
      <c r="AC175" s="64">
        <f t="shared" si="85"/>
        <v>1.5373134328358209</v>
      </c>
      <c r="AD175" s="64">
        <f t="shared" si="85"/>
        <v>1.1318681318681321</v>
      </c>
    </row>
    <row r="176" spans="1:37" ht="33.75" outlineLevel="2" x14ac:dyDescent="0.25">
      <c r="A176" s="236" t="s">
        <v>1820</v>
      </c>
      <c r="B176" s="203" t="s">
        <v>1821</v>
      </c>
      <c r="C176" s="140" t="s">
        <v>353</v>
      </c>
      <c r="D176" s="153" t="s">
        <v>331</v>
      </c>
      <c r="E176" s="140">
        <v>0</v>
      </c>
      <c r="F176" s="140">
        <v>2</v>
      </c>
      <c r="G176" s="140">
        <v>2</v>
      </c>
      <c r="H176" s="257">
        <f t="shared" ref="H176" si="106">G176/F176</f>
        <v>1</v>
      </c>
      <c r="I176" s="257" t="s">
        <v>41</v>
      </c>
      <c r="J176" s="439" t="s">
        <v>41</v>
      </c>
      <c r="K176" s="439" t="s">
        <v>41</v>
      </c>
      <c r="L176" s="39" t="s">
        <v>182</v>
      </c>
      <c r="M176" s="40">
        <v>0</v>
      </c>
      <c r="N176" s="41">
        <f t="shared" ref="N176" si="107">IF(H176&gt;1,1,H176)</f>
        <v>1</v>
      </c>
      <c r="O176" s="41" t="s">
        <v>41</v>
      </c>
      <c r="AC176" s="64">
        <f t="shared" si="85"/>
        <v>1</v>
      </c>
      <c r="AD176" s="440"/>
    </row>
    <row r="177" spans="1:37" s="45" customFormat="1" ht="27" customHeight="1" outlineLevel="1" x14ac:dyDescent="0.25">
      <c r="A177" s="65" t="s">
        <v>133</v>
      </c>
      <c r="B177" s="619" t="s">
        <v>742</v>
      </c>
      <c r="C177" s="619"/>
      <c r="D177" s="619"/>
      <c r="E177" s="619"/>
      <c r="F177" s="619"/>
      <c r="G177" s="619"/>
      <c r="H177" s="66">
        <f>AVERAGE(N178:N179)</f>
        <v>1</v>
      </c>
      <c r="I177" s="66">
        <f>AVERAGE(O178:O179)</f>
        <v>1.1314102564102564</v>
      </c>
      <c r="J177" s="67"/>
      <c r="K177" s="67"/>
      <c r="L177" s="68"/>
      <c r="M177" s="61"/>
      <c r="N177" s="41"/>
      <c r="O177" s="188"/>
      <c r="P177" s="47"/>
      <c r="Q177" s="47"/>
      <c r="R177" s="98">
        <f>COUNTA(C178:C179)</f>
        <v>2</v>
      </c>
      <c r="S177" s="97">
        <v>0</v>
      </c>
      <c r="T177" s="98">
        <f>COUNTIFS(AC178:AC179,"&gt;1,50")</f>
        <v>0</v>
      </c>
      <c r="U177" s="98">
        <f>COUNTIFS(AC178:AC179,"&gt;=0,995",AC178:AC179,"&lt;=1,5")</f>
        <v>2</v>
      </c>
      <c r="V177" s="98">
        <f>COUNTIFS(AC178:AC179,"&gt;=0,85",AC178:AC179,"&lt;0,995")</f>
        <v>0</v>
      </c>
      <c r="W177" s="98">
        <f>COUNTIFS(AC178:AC179,"&lt;0,85")</f>
        <v>0</v>
      </c>
      <c r="X177" s="50"/>
      <c r="Z177" s="90">
        <f>COUNTIFS(AD178:AD179,"&gt;=1,01")</f>
        <v>2</v>
      </c>
      <c r="AA177" s="90">
        <f>COUNTIFS(AD178:AD179,"&gt;=0,99",AD178:AD179,"&lt;1,01")</f>
        <v>0</v>
      </c>
      <c r="AB177" s="91">
        <f>COUNTIFS(AD178:AD179,"&lt;0,99")</f>
        <v>0</v>
      </c>
      <c r="AC177" s="64"/>
      <c r="AD177" s="64"/>
      <c r="AK177" s="45">
        <f>SUM(T177:X177)-R177</f>
        <v>0</v>
      </c>
    </row>
    <row r="178" spans="1:37" ht="67.5" outlineLevel="2" x14ac:dyDescent="0.25">
      <c r="A178" s="236" t="s">
        <v>134</v>
      </c>
      <c r="B178" s="142" t="s">
        <v>743</v>
      </c>
      <c r="C178" s="140" t="s">
        <v>734</v>
      </c>
      <c r="D178" s="244" t="s">
        <v>312</v>
      </c>
      <c r="E178" s="140">
        <v>81.64</v>
      </c>
      <c r="F178" s="140">
        <v>78</v>
      </c>
      <c r="G178" s="140">
        <v>89.49</v>
      </c>
      <c r="H178" s="257">
        <f t="shared" ref="H178:H179" si="108">G178/F178</f>
        <v>1.1473076923076921</v>
      </c>
      <c r="I178" s="257">
        <f>G178/E178</f>
        <v>1.096153846153846</v>
      </c>
      <c r="J178" s="439" t="s">
        <v>1824</v>
      </c>
      <c r="K178" s="439" t="s">
        <v>41</v>
      </c>
      <c r="L178" s="39" t="s">
        <v>182</v>
      </c>
      <c r="M178" s="40">
        <v>1</v>
      </c>
      <c r="N178" s="41">
        <f t="shared" si="103"/>
        <v>1</v>
      </c>
      <c r="O178" s="41">
        <f t="shared" ref="O178:O184" si="109">IF(I178&gt;1.25,1.25,I178)</f>
        <v>1.096153846153846</v>
      </c>
      <c r="AC178" s="64">
        <f t="shared" si="85"/>
        <v>1.1473076923076921</v>
      </c>
      <c r="AD178" s="64">
        <f t="shared" si="85"/>
        <v>1.096153846153846</v>
      </c>
    </row>
    <row r="179" spans="1:37" ht="33.75" outlineLevel="2" x14ac:dyDescent="0.25">
      <c r="A179" s="236" t="s">
        <v>401</v>
      </c>
      <c r="B179" s="142" t="s">
        <v>744</v>
      </c>
      <c r="C179" s="140" t="s">
        <v>432</v>
      </c>
      <c r="D179" s="244" t="s">
        <v>312</v>
      </c>
      <c r="E179" s="140">
        <v>42</v>
      </c>
      <c r="F179" s="140">
        <v>40</v>
      </c>
      <c r="G179" s="140">
        <v>49</v>
      </c>
      <c r="H179" s="257">
        <f t="shared" si="108"/>
        <v>1.2250000000000001</v>
      </c>
      <c r="I179" s="257">
        <f t="shared" ref="I179" si="110">G179/E179</f>
        <v>1.1666666666666667</v>
      </c>
      <c r="J179" s="439" t="s">
        <v>1825</v>
      </c>
      <c r="K179" s="439" t="s">
        <v>41</v>
      </c>
      <c r="L179" s="39" t="s">
        <v>182</v>
      </c>
      <c r="M179" s="40">
        <v>1</v>
      </c>
      <c r="N179" s="41">
        <f t="shared" si="103"/>
        <v>1</v>
      </c>
      <c r="O179" s="41">
        <f t="shared" si="109"/>
        <v>1.1666666666666667</v>
      </c>
      <c r="AC179" s="64">
        <f t="shared" si="85"/>
        <v>1.2250000000000001</v>
      </c>
      <c r="AD179" s="64">
        <f t="shared" si="85"/>
        <v>1.1666666666666667</v>
      </c>
    </row>
    <row r="180" spans="1:37" outlineLevel="2" x14ac:dyDescent="0.25">
      <c r="A180" s="65" t="s">
        <v>263</v>
      </c>
      <c r="B180" s="619" t="s">
        <v>745</v>
      </c>
      <c r="C180" s="619"/>
      <c r="D180" s="619"/>
      <c r="E180" s="619"/>
      <c r="F180" s="619"/>
      <c r="G180" s="619"/>
      <c r="H180" s="66">
        <f>AVERAGE(N181:N188)</f>
        <v>0.87287525381451336</v>
      </c>
      <c r="I180" s="66">
        <f>AVERAGE(O181:O188)</f>
        <v>1.0592680079461525</v>
      </c>
      <c r="J180" s="67"/>
      <c r="K180" s="67"/>
      <c r="L180" s="68"/>
      <c r="M180" s="61"/>
      <c r="N180" s="41"/>
      <c r="O180" s="41"/>
      <c r="R180" s="98">
        <f>COUNTA(C181:C188)</f>
        <v>8</v>
      </c>
      <c r="S180" s="97">
        <v>1</v>
      </c>
      <c r="T180" s="98">
        <f>COUNTIFS(AC181:AC188,"&gt;1,50")</f>
        <v>2</v>
      </c>
      <c r="U180" s="98">
        <f>COUNTIFS(AC181:AC188,"&gt;=0,995",AC181:AC188,"&lt;=1,5")</f>
        <v>2</v>
      </c>
      <c r="V180" s="98">
        <f>COUNTIFS(AC181:AC188,"&gt;=0,85",AC181:AC188,"&lt;0,995")</f>
        <v>1</v>
      </c>
      <c r="W180" s="98">
        <f>COUNTIFS(AC181:AC188,"&lt;0,85")</f>
        <v>2</v>
      </c>
      <c r="Y180" s="45"/>
      <c r="Z180" s="90">
        <f>COUNTIFS(AD181:AD188,"&gt;=1,01")</f>
        <v>3</v>
      </c>
      <c r="AA180" s="90">
        <f>COUNTIFS(AD181:AD188,"&gt;=0,99",AD181:AD188,"&lt;1,01")</f>
        <v>0</v>
      </c>
      <c r="AB180" s="91">
        <f>COUNTIFS(AD181:AD188,"&lt;0,99")</f>
        <v>1</v>
      </c>
      <c r="AC180" s="64"/>
      <c r="AD180" s="64"/>
    </row>
    <row r="181" spans="1:37" ht="56.25" outlineLevel="2" x14ac:dyDescent="0.25">
      <c r="A181" s="236" t="s">
        <v>660</v>
      </c>
      <c r="B181" s="142" t="s">
        <v>746</v>
      </c>
      <c r="C181" s="140" t="s">
        <v>734</v>
      </c>
      <c r="D181" s="244" t="s">
        <v>312</v>
      </c>
      <c r="E181" s="140">
        <v>26.47</v>
      </c>
      <c r="F181" s="140">
        <v>27</v>
      </c>
      <c r="G181" s="140">
        <v>27</v>
      </c>
      <c r="H181" s="257">
        <f t="shared" ref="H181:H184" si="111">G181/F181</f>
        <v>1</v>
      </c>
      <c r="I181" s="257">
        <f>G181/E181</f>
        <v>1.0200226671703816</v>
      </c>
      <c r="J181" s="439" t="s">
        <v>1830</v>
      </c>
      <c r="K181" s="439" t="s">
        <v>41</v>
      </c>
      <c r="L181" s="39" t="s">
        <v>182</v>
      </c>
      <c r="M181" s="40">
        <v>1</v>
      </c>
      <c r="N181" s="41" t="s">
        <v>41</v>
      </c>
      <c r="O181" s="41" t="s">
        <v>41</v>
      </c>
      <c r="AC181" s="64" t="s">
        <v>41</v>
      </c>
      <c r="AD181" s="64" t="s">
        <v>41</v>
      </c>
    </row>
    <row r="182" spans="1:37" ht="45" outlineLevel="2" x14ac:dyDescent="0.25">
      <c r="A182" s="236" t="s">
        <v>661</v>
      </c>
      <c r="B182" s="142" t="s">
        <v>747</v>
      </c>
      <c r="C182" s="140" t="s">
        <v>734</v>
      </c>
      <c r="D182" s="244" t="s">
        <v>312</v>
      </c>
      <c r="E182" s="140">
        <v>111</v>
      </c>
      <c r="F182" s="140">
        <v>221</v>
      </c>
      <c r="G182" s="140">
        <v>121.5</v>
      </c>
      <c r="H182" s="257">
        <f t="shared" si="111"/>
        <v>0.54977375565610864</v>
      </c>
      <c r="I182" s="257">
        <f t="shared" ref="I182:I187" si="112">G182/E182</f>
        <v>1.0945945945945945</v>
      </c>
      <c r="J182" s="439" t="s">
        <v>1831</v>
      </c>
      <c r="K182" s="439" t="s">
        <v>1832</v>
      </c>
      <c r="L182" s="39" t="s">
        <v>182</v>
      </c>
      <c r="M182" s="40">
        <v>1</v>
      </c>
      <c r="N182" s="41">
        <f t="shared" si="103"/>
        <v>0.54977375565610864</v>
      </c>
      <c r="O182" s="41">
        <f t="shared" si="109"/>
        <v>1.0945945945945945</v>
      </c>
      <c r="AC182" s="64">
        <f t="shared" si="85"/>
        <v>0.54977375565610864</v>
      </c>
      <c r="AD182" s="64">
        <f t="shared" si="85"/>
        <v>1.0945945945945945</v>
      </c>
    </row>
    <row r="183" spans="1:37" ht="67.5" outlineLevel="2" x14ac:dyDescent="0.25">
      <c r="A183" s="236" t="s">
        <v>662</v>
      </c>
      <c r="B183" s="142" t="s">
        <v>748</v>
      </c>
      <c r="C183" s="140" t="s">
        <v>353</v>
      </c>
      <c r="D183" s="244" t="s">
        <v>312</v>
      </c>
      <c r="E183" s="140">
        <v>502</v>
      </c>
      <c r="F183" s="140">
        <v>589.20000000000005</v>
      </c>
      <c r="G183" s="140">
        <v>565.84</v>
      </c>
      <c r="H183" s="257">
        <f t="shared" si="111"/>
        <v>0.96035302104548537</v>
      </c>
      <c r="I183" s="257">
        <f t="shared" si="112"/>
        <v>1.1271713147410358</v>
      </c>
      <c r="J183" s="439" t="s">
        <v>1833</v>
      </c>
      <c r="K183" s="439" t="s">
        <v>1832</v>
      </c>
      <c r="L183" s="39" t="s">
        <v>182</v>
      </c>
      <c r="M183" s="40">
        <v>1</v>
      </c>
      <c r="N183" s="41">
        <f t="shared" si="103"/>
        <v>0.96035302104548537</v>
      </c>
      <c r="O183" s="41">
        <f t="shared" si="109"/>
        <v>1.1271713147410358</v>
      </c>
      <c r="AC183" s="64">
        <f t="shared" si="85"/>
        <v>0.96035302104548537</v>
      </c>
      <c r="AD183" s="64">
        <f t="shared" si="85"/>
        <v>1.1271713147410358</v>
      </c>
    </row>
    <row r="184" spans="1:37" ht="56.25" outlineLevel="2" x14ac:dyDescent="0.25">
      <c r="A184" s="236" t="s">
        <v>663</v>
      </c>
      <c r="B184" s="142" t="s">
        <v>749</v>
      </c>
      <c r="C184" s="140" t="s">
        <v>734</v>
      </c>
      <c r="D184" s="244" t="s">
        <v>312</v>
      </c>
      <c r="E184" s="140">
        <v>11.76</v>
      </c>
      <c r="F184" s="140">
        <v>15</v>
      </c>
      <c r="G184" s="140">
        <v>9</v>
      </c>
      <c r="H184" s="257">
        <f t="shared" si="111"/>
        <v>0.6</v>
      </c>
      <c r="I184" s="257">
        <f t="shared" si="112"/>
        <v>0.76530612244897955</v>
      </c>
      <c r="J184" s="439" t="s">
        <v>1834</v>
      </c>
      <c r="K184" s="439" t="s">
        <v>1832</v>
      </c>
      <c r="L184" s="39" t="s">
        <v>182</v>
      </c>
      <c r="M184" s="40">
        <v>1</v>
      </c>
      <c r="N184" s="41">
        <f t="shared" si="103"/>
        <v>0.6</v>
      </c>
      <c r="O184" s="41">
        <f t="shared" si="109"/>
        <v>0.76530612244897955</v>
      </c>
      <c r="AC184" s="64">
        <f t="shared" si="85"/>
        <v>0.6</v>
      </c>
      <c r="AD184" s="64">
        <f t="shared" si="85"/>
        <v>0.76530612244897955</v>
      </c>
    </row>
    <row r="185" spans="1:37" ht="56.25" outlineLevel="2" x14ac:dyDescent="0.25">
      <c r="A185" s="236" t="s">
        <v>1826</v>
      </c>
      <c r="B185" s="142" t="s">
        <v>1827</v>
      </c>
      <c r="C185" s="140" t="s">
        <v>734</v>
      </c>
      <c r="D185" s="244" t="s">
        <v>312</v>
      </c>
      <c r="E185" s="140">
        <v>0</v>
      </c>
      <c r="F185" s="140">
        <v>11</v>
      </c>
      <c r="G185" s="140">
        <v>28</v>
      </c>
      <c r="H185" s="257">
        <f t="shared" ref="H185" si="113">G185/F185</f>
        <v>2.5454545454545454</v>
      </c>
      <c r="I185" s="257" t="s">
        <v>41</v>
      </c>
      <c r="J185" s="439" t="s">
        <v>1835</v>
      </c>
      <c r="K185" s="439" t="s">
        <v>41</v>
      </c>
      <c r="L185" s="39" t="s">
        <v>182</v>
      </c>
      <c r="M185" s="40">
        <v>1</v>
      </c>
      <c r="N185" s="41">
        <f t="shared" ref="N185" si="114">IF(H185&gt;1,1,H185)</f>
        <v>1</v>
      </c>
      <c r="O185" s="41" t="s">
        <v>41</v>
      </c>
      <c r="AC185" s="64">
        <f t="shared" si="85"/>
        <v>2.5454545454545454</v>
      </c>
      <c r="AD185" s="64" t="str">
        <f t="shared" si="85"/>
        <v>-</v>
      </c>
    </row>
    <row r="186" spans="1:37" ht="33.75" outlineLevel="2" x14ac:dyDescent="0.25">
      <c r="A186" s="236" t="s">
        <v>759</v>
      </c>
      <c r="B186" s="142" t="s">
        <v>750</v>
      </c>
      <c r="C186" s="140" t="s">
        <v>432</v>
      </c>
      <c r="D186" s="260" t="s">
        <v>331</v>
      </c>
      <c r="E186" s="140">
        <v>19</v>
      </c>
      <c r="F186" s="140">
        <v>18</v>
      </c>
      <c r="G186" s="140">
        <v>21</v>
      </c>
      <c r="H186" s="257">
        <f t="shared" ref="H186:H188" si="115">G186/F186</f>
        <v>1.1666666666666667</v>
      </c>
      <c r="I186" s="257">
        <f t="shared" si="112"/>
        <v>1.1052631578947369</v>
      </c>
      <c r="J186" s="439" t="s">
        <v>1836</v>
      </c>
      <c r="K186" s="439" t="s">
        <v>41</v>
      </c>
      <c r="L186" s="39" t="s">
        <v>182</v>
      </c>
      <c r="M186" s="40">
        <v>0</v>
      </c>
      <c r="N186" s="41">
        <f t="shared" si="103"/>
        <v>1</v>
      </c>
      <c r="O186" s="41" t="s">
        <v>41</v>
      </c>
      <c r="AC186" s="64">
        <f t="shared" si="85"/>
        <v>1.1666666666666667</v>
      </c>
      <c r="AD186" s="64" t="s">
        <v>41</v>
      </c>
    </row>
    <row r="187" spans="1:37" ht="38.25" customHeight="1" outlineLevel="2" x14ac:dyDescent="0.25">
      <c r="A187" s="236" t="s">
        <v>1275</v>
      </c>
      <c r="B187" s="142" t="s">
        <v>1276</v>
      </c>
      <c r="C187" s="140" t="s">
        <v>353</v>
      </c>
      <c r="D187" s="244" t="s">
        <v>312</v>
      </c>
      <c r="E187" s="140">
        <v>9</v>
      </c>
      <c r="F187" s="140">
        <v>12</v>
      </c>
      <c r="G187" s="140">
        <v>30</v>
      </c>
      <c r="H187" s="257">
        <f t="shared" ref="H187" si="116">G187/F187</f>
        <v>2.5</v>
      </c>
      <c r="I187" s="257">
        <f t="shared" si="112"/>
        <v>3.3333333333333335</v>
      </c>
      <c r="J187" s="439" t="s">
        <v>1837</v>
      </c>
      <c r="K187" s="439" t="s">
        <v>41</v>
      </c>
      <c r="L187" s="39" t="s">
        <v>182</v>
      </c>
      <c r="M187" s="40">
        <v>1</v>
      </c>
      <c r="N187" s="41">
        <f t="shared" ref="N187" si="117">IF(H187&gt;1,1,H187)</f>
        <v>1</v>
      </c>
      <c r="O187" s="41">
        <f t="shared" ref="O187" si="118">IF(I187&gt;1.25,1.25,I187)</f>
        <v>1.25</v>
      </c>
      <c r="AC187" s="64">
        <f t="shared" si="85"/>
        <v>2.5</v>
      </c>
      <c r="AD187" s="64">
        <f t="shared" si="85"/>
        <v>3.3333333333333335</v>
      </c>
    </row>
    <row r="188" spans="1:37" ht="78.75" outlineLevel="2" x14ac:dyDescent="0.25">
      <c r="A188" s="236" t="s">
        <v>1828</v>
      </c>
      <c r="B188" s="142" t="s">
        <v>1829</v>
      </c>
      <c r="C188" s="140" t="s">
        <v>734</v>
      </c>
      <c r="D188" s="244" t="s">
        <v>312</v>
      </c>
      <c r="E188" s="140" t="s">
        <v>41</v>
      </c>
      <c r="F188" s="140">
        <v>200</v>
      </c>
      <c r="G188" s="140">
        <v>200</v>
      </c>
      <c r="H188" s="257">
        <f t="shared" si="115"/>
        <v>1</v>
      </c>
      <c r="I188" s="257" t="s">
        <v>41</v>
      </c>
      <c r="J188" s="439" t="s">
        <v>41</v>
      </c>
      <c r="K188" s="439" t="s">
        <v>41</v>
      </c>
      <c r="L188" s="39" t="s">
        <v>182</v>
      </c>
      <c r="M188" s="40">
        <v>1</v>
      </c>
      <c r="N188" s="41">
        <f t="shared" si="103"/>
        <v>1</v>
      </c>
      <c r="O188" s="41" t="s">
        <v>41</v>
      </c>
      <c r="AC188" s="64">
        <f t="shared" si="85"/>
        <v>1</v>
      </c>
      <c r="AD188" s="64" t="str">
        <f t="shared" si="85"/>
        <v>-</v>
      </c>
    </row>
    <row r="189" spans="1:37" s="45" customFormat="1" ht="23.25" customHeight="1" x14ac:dyDescent="0.25">
      <c r="A189" s="475">
        <v>6</v>
      </c>
      <c r="B189" s="620" t="s">
        <v>751</v>
      </c>
      <c r="C189" s="620"/>
      <c r="D189" s="620"/>
      <c r="E189" s="620"/>
      <c r="F189" s="620"/>
      <c r="G189" s="620"/>
      <c r="H189" s="476">
        <f>AVERAGE(N190:N213)</f>
        <v>0.92180418542508402</v>
      </c>
      <c r="I189" s="476">
        <f>AVERAGE(O190:O213)</f>
        <v>1.0319921645162422</v>
      </c>
      <c r="J189" s="403"/>
      <c r="K189" s="403"/>
      <c r="L189" s="404"/>
      <c r="M189" s="61"/>
      <c r="N189" s="188"/>
      <c r="O189" s="188"/>
      <c r="P189" s="47"/>
      <c r="Q189" s="47"/>
      <c r="R189" s="104">
        <f>COUNTA(C190:C213)</f>
        <v>20</v>
      </c>
      <c r="S189" s="96">
        <f>R189-T189-U189-V189-W189</f>
        <v>1</v>
      </c>
      <c r="T189" s="104">
        <f>COUNTIFS(AC190:AC213,"&gt;1,50")</f>
        <v>5</v>
      </c>
      <c r="U189" s="104">
        <f>COUNTIFS(AC190:AC213,"&gt;=0,995",AC190:AC213,"&lt;=1,5")</f>
        <v>7</v>
      </c>
      <c r="V189" s="104">
        <f>COUNTIFS(AC190:AC213,"&gt;=0,85",AC190:AC213,"&lt;0,995")</f>
        <v>4</v>
      </c>
      <c r="W189" s="104">
        <f>COUNTIFS(AC190:AC213,"&lt;0,85")</f>
        <v>3</v>
      </c>
      <c r="X189" s="47"/>
      <c r="Z189" s="94">
        <f>COUNTIFS(AD190:AD213,"&gt;=1,01")</f>
        <v>8</v>
      </c>
      <c r="AA189" s="94">
        <f>COUNTIFS(AD190:AD213,"&gt;=0,99",AD190:AD213,"&lt;1,01")</f>
        <v>1</v>
      </c>
      <c r="AB189" s="95">
        <f>COUNTIFS(AD190:AD213,"&lt;0,99")</f>
        <v>6</v>
      </c>
      <c r="AC189" s="64"/>
      <c r="AD189" s="64"/>
      <c r="AK189" s="45">
        <f>SUM(T189:X189)-R189</f>
        <v>-1</v>
      </c>
    </row>
    <row r="190" spans="1:37" ht="49.5" customHeight="1" outlineLevel="2" x14ac:dyDescent="0.25">
      <c r="A190" s="236" t="s">
        <v>402</v>
      </c>
      <c r="B190" s="42" t="s">
        <v>403</v>
      </c>
      <c r="C190" s="153" t="s">
        <v>314</v>
      </c>
      <c r="D190" s="251" t="s">
        <v>298</v>
      </c>
      <c r="E190" s="140">
        <v>3.4</v>
      </c>
      <c r="F190" s="140">
        <v>3.5</v>
      </c>
      <c r="G190" s="140">
        <v>2.5</v>
      </c>
      <c r="H190" s="131">
        <f>F190/G190</f>
        <v>1.4</v>
      </c>
      <c r="I190" s="131">
        <f>E190/G190</f>
        <v>1.3599999999999999</v>
      </c>
      <c r="J190" s="80" t="s">
        <v>1620</v>
      </c>
      <c r="K190" s="80" t="s">
        <v>41</v>
      </c>
      <c r="L190" s="39" t="s">
        <v>239</v>
      </c>
      <c r="M190" s="40">
        <v>-1</v>
      </c>
      <c r="N190" s="41" t="s">
        <v>41</v>
      </c>
      <c r="O190" s="41" t="s">
        <v>41</v>
      </c>
      <c r="AC190" s="64" t="s">
        <v>41</v>
      </c>
      <c r="AD190" s="64" t="s">
        <v>41</v>
      </c>
    </row>
    <row r="191" spans="1:37" ht="78.75" outlineLevel="2" x14ac:dyDescent="0.25">
      <c r="A191" s="236" t="s">
        <v>404</v>
      </c>
      <c r="B191" s="42" t="s">
        <v>405</v>
      </c>
      <c r="C191" s="153" t="s">
        <v>314</v>
      </c>
      <c r="D191" s="251" t="s">
        <v>298</v>
      </c>
      <c r="E191" s="140">
        <v>0.8</v>
      </c>
      <c r="F191" s="140">
        <v>1.1000000000000001</v>
      </c>
      <c r="G191" s="140">
        <v>0.6</v>
      </c>
      <c r="H191" s="131">
        <f t="shared" ref="H191:H192" si="119">F191/G191</f>
        <v>1.8333333333333335</v>
      </c>
      <c r="I191" s="131">
        <f t="shared" ref="I191:I193" si="120">E191/G191</f>
        <v>1.3333333333333335</v>
      </c>
      <c r="J191" s="80" t="s">
        <v>1621</v>
      </c>
      <c r="K191" s="80" t="s">
        <v>41</v>
      </c>
      <c r="L191" s="39" t="s">
        <v>239</v>
      </c>
      <c r="M191" s="40">
        <v>-1</v>
      </c>
      <c r="N191" s="41">
        <f t="shared" ref="N191:N201" si="121">IF(H191&gt;1,1,H191)</f>
        <v>1</v>
      </c>
      <c r="O191" s="41">
        <f t="shared" ref="O191:O197" si="122">IF(I191&gt;1.25,1.25,I191)</f>
        <v>1.25</v>
      </c>
      <c r="AC191" s="64">
        <f t="shared" si="85"/>
        <v>1.8333333333333335</v>
      </c>
      <c r="AD191" s="64">
        <f t="shared" si="85"/>
        <v>1.3333333333333335</v>
      </c>
    </row>
    <row r="192" spans="1:37" ht="51.75" customHeight="1" outlineLevel="2" x14ac:dyDescent="0.25">
      <c r="A192" s="236" t="s">
        <v>406</v>
      </c>
      <c r="B192" s="42" t="s">
        <v>408</v>
      </c>
      <c r="C192" s="127" t="s">
        <v>320</v>
      </c>
      <c r="D192" s="251" t="s">
        <v>298</v>
      </c>
      <c r="E192" s="140">
        <v>4.34</v>
      </c>
      <c r="F192" s="140">
        <v>3.2</v>
      </c>
      <c r="G192" s="140">
        <v>4.7699999999999996</v>
      </c>
      <c r="H192" s="131">
        <f t="shared" si="119"/>
        <v>0.67085953878406723</v>
      </c>
      <c r="I192" s="131">
        <f t="shared" si="120"/>
        <v>0.90985324947589108</v>
      </c>
      <c r="J192" s="80" t="s">
        <v>1622</v>
      </c>
      <c r="K192" s="80" t="s">
        <v>1623</v>
      </c>
      <c r="L192" s="39" t="s">
        <v>239</v>
      </c>
      <c r="M192" s="40">
        <v>-1</v>
      </c>
      <c r="N192" s="41">
        <f t="shared" si="121"/>
        <v>0.67085953878406723</v>
      </c>
      <c r="O192" s="41">
        <f t="shared" si="122"/>
        <v>0.90985324947589108</v>
      </c>
      <c r="AC192" s="64">
        <f t="shared" si="85"/>
        <v>0.67085953878406723</v>
      </c>
      <c r="AD192" s="64">
        <f t="shared" si="85"/>
        <v>0.90985324947589108</v>
      </c>
    </row>
    <row r="193" spans="1:37" ht="33.75" outlineLevel="2" x14ac:dyDescent="0.25">
      <c r="A193" s="236" t="s">
        <v>407</v>
      </c>
      <c r="B193" s="42" t="s">
        <v>409</v>
      </c>
      <c r="C193" s="127" t="s">
        <v>334</v>
      </c>
      <c r="D193" s="251" t="s">
        <v>298</v>
      </c>
      <c r="E193" s="140">
        <v>0.9</v>
      </c>
      <c r="F193" s="140">
        <v>1.05</v>
      </c>
      <c r="G193" s="140">
        <v>0.7</v>
      </c>
      <c r="H193" s="131">
        <f>F193/G193</f>
        <v>1.5000000000000002</v>
      </c>
      <c r="I193" s="131">
        <f t="shared" si="120"/>
        <v>1.2857142857142858</v>
      </c>
      <c r="J193" s="80" t="s">
        <v>1624</v>
      </c>
      <c r="K193" s="80" t="s">
        <v>1625</v>
      </c>
      <c r="L193" s="39" t="s">
        <v>239</v>
      </c>
      <c r="M193" s="40">
        <v>-1</v>
      </c>
      <c r="N193" s="41">
        <f t="shared" si="121"/>
        <v>1</v>
      </c>
      <c r="O193" s="41">
        <f t="shared" si="122"/>
        <v>1.25</v>
      </c>
      <c r="AC193" s="64">
        <f t="shared" si="85"/>
        <v>1.5000000000000002</v>
      </c>
      <c r="AD193" s="64">
        <f t="shared" si="85"/>
        <v>1.2857142857142858</v>
      </c>
    </row>
    <row r="194" spans="1:37" s="45" customFormat="1" outlineLevel="1" x14ac:dyDescent="0.25">
      <c r="A194" s="65" t="s">
        <v>135</v>
      </c>
      <c r="B194" s="619" t="s">
        <v>410</v>
      </c>
      <c r="C194" s="619"/>
      <c r="D194" s="619"/>
      <c r="E194" s="619"/>
      <c r="F194" s="619"/>
      <c r="G194" s="619"/>
      <c r="H194" s="66">
        <f>AVERAGE(N195:N198)</f>
        <v>0.87666666666666671</v>
      </c>
      <c r="I194" s="66">
        <f>AVERAGE(O195:O198)</f>
        <v>1.0498818372403278</v>
      </c>
      <c r="J194" s="67"/>
      <c r="K194" s="67"/>
      <c r="L194" s="68"/>
      <c r="M194" s="61"/>
      <c r="N194" s="41"/>
      <c r="O194" s="41"/>
      <c r="P194" s="47"/>
      <c r="Q194" s="47"/>
      <c r="R194" s="98">
        <f>COUNTA(C195:C198)</f>
        <v>4</v>
      </c>
      <c r="S194" s="97">
        <v>0</v>
      </c>
      <c r="T194" s="98">
        <f>COUNTIFS(AC195:AC198,"&gt;1,50")</f>
        <v>1</v>
      </c>
      <c r="U194" s="98">
        <f>COUNTIFS(AC195:AC198,"&gt;=0,995",AC195:AC198,"&lt;=1,5")</f>
        <v>2</v>
      </c>
      <c r="V194" s="98">
        <f>COUNTIFS(AC195:AC198,"&gt;=0,85",AC195:AC198,"&lt;0,995")</f>
        <v>0</v>
      </c>
      <c r="W194" s="98">
        <f>COUNTIFS(AC195:AC198,"&lt;0,85")</f>
        <v>1</v>
      </c>
      <c r="X194" s="50"/>
      <c r="Z194" s="90">
        <f>COUNTIFS(AD195:AD198,"&gt;=1,01")</f>
        <v>2</v>
      </c>
      <c r="AA194" s="90">
        <f>COUNTIFS(AD195:AD198,"&gt;=0,99",AD195:AD198,"&lt;1,01")</f>
        <v>0</v>
      </c>
      <c r="AB194" s="91">
        <f>COUNTIFS(AD195:AD198,"&lt;0,99")</f>
        <v>1</v>
      </c>
      <c r="AC194" s="64"/>
      <c r="AD194" s="64"/>
      <c r="AK194" s="45">
        <f>SUM(T194:X194)-R194</f>
        <v>0</v>
      </c>
    </row>
    <row r="195" spans="1:37" ht="22.5" outlineLevel="2" x14ac:dyDescent="0.25">
      <c r="A195" s="236" t="s">
        <v>411</v>
      </c>
      <c r="B195" s="141" t="s">
        <v>412</v>
      </c>
      <c r="C195" s="143" t="s">
        <v>314</v>
      </c>
      <c r="D195" s="244" t="s">
        <v>312</v>
      </c>
      <c r="E195" s="140">
        <v>58.3</v>
      </c>
      <c r="F195" s="140">
        <v>58.5</v>
      </c>
      <c r="G195" s="140">
        <v>61</v>
      </c>
      <c r="H195" s="131">
        <f>G195/F195</f>
        <v>1.0427350427350428</v>
      </c>
      <c r="I195" s="131">
        <f>G195/E195</f>
        <v>1.0463121783876501</v>
      </c>
      <c r="J195" s="80" t="s">
        <v>41</v>
      </c>
      <c r="K195" s="80" t="s">
        <v>41</v>
      </c>
      <c r="L195" s="39" t="s">
        <v>239</v>
      </c>
      <c r="M195" s="40">
        <v>1</v>
      </c>
      <c r="N195" s="41">
        <f t="shared" si="121"/>
        <v>1</v>
      </c>
      <c r="O195" s="41">
        <f t="shared" si="122"/>
        <v>1.0463121783876501</v>
      </c>
      <c r="AC195" s="64">
        <f t="shared" si="85"/>
        <v>1.0427350427350428</v>
      </c>
      <c r="AD195" s="64">
        <f t="shared" si="85"/>
        <v>1.0463121783876501</v>
      </c>
    </row>
    <row r="196" spans="1:37" ht="33.75" outlineLevel="2" x14ac:dyDescent="0.25">
      <c r="A196" s="236" t="s">
        <v>413</v>
      </c>
      <c r="B196" s="141" t="s">
        <v>415</v>
      </c>
      <c r="C196" s="143" t="s">
        <v>416</v>
      </c>
      <c r="D196" s="251" t="s">
        <v>298</v>
      </c>
      <c r="E196" s="140">
        <v>2.9</v>
      </c>
      <c r="F196" s="140">
        <v>3.2</v>
      </c>
      <c r="G196" s="140">
        <v>2</v>
      </c>
      <c r="H196" s="131">
        <f t="shared" ref="H196:H197" si="123">F196/G196</f>
        <v>1.6</v>
      </c>
      <c r="I196" s="131">
        <f t="shared" ref="I196:I197" si="124">E196/G196</f>
        <v>1.45</v>
      </c>
      <c r="J196" s="80" t="s">
        <v>1627</v>
      </c>
      <c r="K196" s="80" t="s">
        <v>41</v>
      </c>
      <c r="L196" s="39" t="s">
        <v>239</v>
      </c>
      <c r="M196" s="40">
        <v>-1</v>
      </c>
      <c r="N196" s="41">
        <f t="shared" si="121"/>
        <v>1</v>
      </c>
      <c r="O196" s="41">
        <f t="shared" si="122"/>
        <v>1.25</v>
      </c>
      <c r="AC196" s="64">
        <f t="shared" si="85"/>
        <v>1.6</v>
      </c>
      <c r="AD196" s="64">
        <f t="shared" si="85"/>
        <v>1.45</v>
      </c>
    </row>
    <row r="197" spans="1:37" ht="57.75" customHeight="1" outlineLevel="2" x14ac:dyDescent="0.25">
      <c r="A197" s="236" t="s">
        <v>414</v>
      </c>
      <c r="B197" s="141" t="s">
        <v>752</v>
      </c>
      <c r="C197" s="143" t="s">
        <v>334</v>
      </c>
      <c r="D197" s="251" t="s">
        <v>298</v>
      </c>
      <c r="E197" s="140">
        <v>6.4</v>
      </c>
      <c r="F197" s="140">
        <v>3.8</v>
      </c>
      <c r="G197" s="140">
        <v>7.5</v>
      </c>
      <c r="H197" s="131">
        <f t="shared" si="123"/>
        <v>0.5066666666666666</v>
      </c>
      <c r="I197" s="131">
        <f t="shared" si="124"/>
        <v>0.85333333333333339</v>
      </c>
      <c r="J197" s="80" t="s">
        <v>1628</v>
      </c>
      <c r="K197" s="80" t="s">
        <v>1629</v>
      </c>
      <c r="L197" s="39" t="s">
        <v>239</v>
      </c>
      <c r="M197" s="40">
        <v>-1</v>
      </c>
      <c r="N197" s="41">
        <f t="shared" si="121"/>
        <v>0.5066666666666666</v>
      </c>
      <c r="O197" s="41">
        <f t="shared" si="122"/>
        <v>0.85333333333333339</v>
      </c>
      <c r="AC197" s="64">
        <f t="shared" si="85"/>
        <v>0.5066666666666666</v>
      </c>
      <c r="AD197" s="64">
        <f t="shared" si="85"/>
        <v>0.85333333333333339</v>
      </c>
    </row>
    <row r="198" spans="1:37" ht="63" customHeight="1" outlineLevel="2" x14ac:dyDescent="0.25">
      <c r="A198" s="236" t="s">
        <v>417</v>
      </c>
      <c r="B198" s="141" t="s">
        <v>1626</v>
      </c>
      <c r="C198" s="143" t="s">
        <v>334</v>
      </c>
      <c r="D198" s="260" t="s">
        <v>331</v>
      </c>
      <c r="E198" s="140">
        <v>14</v>
      </c>
      <c r="F198" s="140">
        <v>24</v>
      </c>
      <c r="G198" s="140">
        <v>24</v>
      </c>
      <c r="H198" s="131">
        <f>G198/F198</f>
        <v>1</v>
      </c>
      <c r="I198" s="131">
        <f>G198/E198</f>
        <v>1.7142857142857142</v>
      </c>
      <c r="J198" s="80" t="s">
        <v>41</v>
      </c>
      <c r="K198" s="80" t="s">
        <v>41</v>
      </c>
      <c r="L198" s="39" t="s">
        <v>239</v>
      </c>
      <c r="M198" s="40">
        <v>0</v>
      </c>
      <c r="N198" s="41">
        <f t="shared" si="121"/>
        <v>1</v>
      </c>
      <c r="O198" s="41" t="s">
        <v>41</v>
      </c>
      <c r="AC198" s="64">
        <f t="shared" si="85"/>
        <v>1</v>
      </c>
      <c r="AD198" s="64"/>
    </row>
    <row r="199" spans="1:37" s="45" customFormat="1" ht="24" customHeight="1" outlineLevel="1" x14ac:dyDescent="0.25">
      <c r="A199" s="65" t="s">
        <v>136</v>
      </c>
      <c r="B199" s="619" t="s">
        <v>418</v>
      </c>
      <c r="C199" s="619"/>
      <c r="D199" s="619"/>
      <c r="E199" s="619"/>
      <c r="F199" s="619"/>
      <c r="G199" s="619"/>
      <c r="H199" s="66">
        <f>AVERAGE(N200:N202)</f>
        <v>0.95187969924812033</v>
      </c>
      <c r="I199" s="66">
        <v>1</v>
      </c>
      <c r="J199" s="67"/>
      <c r="K199" s="67"/>
      <c r="L199" s="68"/>
      <c r="M199" s="145"/>
      <c r="N199" s="41"/>
      <c r="O199" s="188"/>
      <c r="P199" s="47"/>
      <c r="Q199" s="47"/>
      <c r="R199" s="98">
        <f>COUNTA(C200:C202)</f>
        <v>3</v>
      </c>
      <c r="S199" s="97">
        <v>0</v>
      </c>
      <c r="T199" s="98">
        <f>COUNTIFS(AC200:AC202,"&gt;1,50")</f>
        <v>0</v>
      </c>
      <c r="U199" s="98">
        <f>COUNTIFS(AC200:AC202,"&gt;=0,995",AC200:AC202,"&lt;=1,5")</f>
        <v>1</v>
      </c>
      <c r="V199" s="98">
        <f>COUNTIFS(AC200:AC202,"&gt;=0,85",AC200:AC202,"&lt;0,995")</f>
        <v>2</v>
      </c>
      <c r="W199" s="98">
        <f>COUNTIFS(AC200:AC202,"&lt;0,85")</f>
        <v>0</v>
      </c>
      <c r="X199" s="50"/>
      <c r="Z199" s="90">
        <f>COUNTIFS(AD200:AD202,"&gt;=1,01")</f>
        <v>0</v>
      </c>
      <c r="AA199" s="90">
        <f>COUNTIFS(AD200:AD202,"&gt;=0,99",AD200:AD202,"&lt;1,01")</f>
        <v>0</v>
      </c>
      <c r="AB199" s="91">
        <f>COUNTIFS(AD200:AD202,"&lt;0,99")</f>
        <v>0</v>
      </c>
      <c r="AC199" s="64"/>
      <c r="AD199" s="64"/>
      <c r="AK199" s="45">
        <f>SUM(T199:X199)-R199</f>
        <v>0</v>
      </c>
    </row>
    <row r="200" spans="1:37" s="45" customFormat="1" ht="63" customHeight="1" outlineLevel="1" x14ac:dyDescent="0.25">
      <c r="A200" s="236" t="s">
        <v>419</v>
      </c>
      <c r="B200" s="42" t="s">
        <v>755</v>
      </c>
      <c r="C200" s="143" t="s">
        <v>320</v>
      </c>
      <c r="D200" s="143" t="s">
        <v>331</v>
      </c>
      <c r="E200" s="140">
        <v>150</v>
      </c>
      <c r="F200" s="140">
        <v>95</v>
      </c>
      <c r="G200" s="140">
        <v>84</v>
      </c>
      <c r="H200" s="262">
        <f>G200/F200</f>
        <v>0.88421052631578945</v>
      </c>
      <c r="I200" s="131">
        <f>G200/E200</f>
        <v>0.56000000000000005</v>
      </c>
      <c r="J200" s="80" t="s">
        <v>1630</v>
      </c>
      <c r="K200" s="80" t="s">
        <v>41</v>
      </c>
      <c r="L200" s="39" t="s">
        <v>239</v>
      </c>
      <c r="M200" s="263">
        <v>0</v>
      </c>
      <c r="N200" s="41">
        <f t="shared" si="121"/>
        <v>0.88421052631578945</v>
      </c>
      <c r="O200" s="146" t="s">
        <v>41</v>
      </c>
      <c r="P200" s="47"/>
      <c r="Q200" s="47"/>
      <c r="R200" s="339"/>
      <c r="S200" s="97"/>
      <c r="T200" s="339"/>
      <c r="U200" s="339"/>
      <c r="V200" s="339"/>
      <c r="W200" s="339"/>
      <c r="X200" s="50"/>
      <c r="Z200" s="340"/>
      <c r="AA200" s="340"/>
      <c r="AB200" s="340"/>
      <c r="AC200" s="64">
        <f t="shared" si="85"/>
        <v>0.88421052631578945</v>
      </c>
      <c r="AD200" s="64"/>
    </row>
    <row r="201" spans="1:37" s="45" customFormat="1" ht="78.75" outlineLevel="1" x14ac:dyDescent="0.25">
      <c r="A201" s="236" t="s">
        <v>753</v>
      </c>
      <c r="B201" s="42" t="s">
        <v>756</v>
      </c>
      <c r="C201" s="143" t="s">
        <v>314</v>
      </c>
      <c r="D201" s="143" t="s">
        <v>331</v>
      </c>
      <c r="E201" s="140">
        <v>64</v>
      </c>
      <c r="F201" s="140">
        <v>70</v>
      </c>
      <c r="G201" s="140">
        <v>68</v>
      </c>
      <c r="H201" s="262">
        <f t="shared" ref="H201:H202" si="125">G201/F201</f>
        <v>0.97142857142857142</v>
      </c>
      <c r="I201" s="131">
        <f>G201/E201</f>
        <v>1.0625</v>
      </c>
      <c r="J201" s="80" t="s">
        <v>1631</v>
      </c>
      <c r="K201" s="80" t="s">
        <v>41</v>
      </c>
      <c r="L201" s="39" t="s">
        <v>239</v>
      </c>
      <c r="M201" s="263">
        <v>0</v>
      </c>
      <c r="N201" s="41">
        <f t="shared" si="121"/>
        <v>0.97142857142857142</v>
      </c>
      <c r="O201" s="146" t="s">
        <v>41</v>
      </c>
      <c r="P201" s="47"/>
      <c r="Q201" s="47"/>
      <c r="R201" s="339"/>
      <c r="S201" s="97"/>
      <c r="T201" s="339"/>
      <c r="U201" s="339"/>
      <c r="V201" s="339"/>
      <c r="W201" s="339"/>
      <c r="X201" s="50"/>
      <c r="Z201" s="340"/>
      <c r="AA201" s="340"/>
      <c r="AB201" s="340"/>
      <c r="AC201" s="64">
        <f t="shared" si="85"/>
        <v>0.97142857142857142</v>
      </c>
      <c r="AD201" s="64"/>
    </row>
    <row r="202" spans="1:37" ht="45" outlineLevel="2" x14ac:dyDescent="0.25">
      <c r="A202" s="236" t="s">
        <v>754</v>
      </c>
      <c r="B202" s="42" t="s">
        <v>757</v>
      </c>
      <c r="C202" s="143" t="s">
        <v>320</v>
      </c>
      <c r="D202" s="143" t="s">
        <v>331</v>
      </c>
      <c r="E202" s="140">
        <v>17</v>
      </c>
      <c r="F202" s="140">
        <v>14</v>
      </c>
      <c r="G202" s="140">
        <v>14</v>
      </c>
      <c r="H202" s="262">
        <f t="shared" si="125"/>
        <v>1</v>
      </c>
      <c r="I202" s="131">
        <f>G202/E202</f>
        <v>0.82352941176470584</v>
      </c>
      <c r="J202" s="80" t="s">
        <v>41</v>
      </c>
      <c r="K202" s="80" t="s">
        <v>41</v>
      </c>
      <c r="L202" s="39" t="s">
        <v>239</v>
      </c>
      <c r="M202" s="40">
        <v>0</v>
      </c>
      <c r="N202" s="41">
        <f>IF(H202&gt;1,1,H202)</f>
        <v>1</v>
      </c>
      <c r="O202" s="41" t="s">
        <v>41</v>
      </c>
      <c r="AC202" s="64">
        <f t="shared" si="85"/>
        <v>1</v>
      </c>
      <c r="AD202" s="64"/>
    </row>
    <row r="203" spans="1:37" s="45" customFormat="1" outlineLevel="1" x14ac:dyDescent="0.25">
      <c r="A203" s="65" t="s">
        <v>265</v>
      </c>
      <c r="B203" s="619" t="s">
        <v>758</v>
      </c>
      <c r="C203" s="619"/>
      <c r="D203" s="619"/>
      <c r="E203" s="619"/>
      <c r="F203" s="619"/>
      <c r="G203" s="619"/>
      <c r="H203" s="66">
        <f>AVERAGE(N204:N211)</f>
        <v>0.93513927748518766</v>
      </c>
      <c r="I203" s="66">
        <f>AVERAGE(O204:O211)</f>
        <v>0.98379796331834446</v>
      </c>
      <c r="J203" s="67"/>
      <c r="K203" s="67"/>
      <c r="L203" s="68"/>
      <c r="M203" s="61"/>
      <c r="N203" s="41"/>
      <c r="O203" s="188"/>
      <c r="P203" s="47"/>
      <c r="Q203" s="47"/>
      <c r="R203" s="98">
        <f>COUNTA(C204:C211)</f>
        <v>8</v>
      </c>
      <c r="S203" s="97">
        <v>0</v>
      </c>
      <c r="T203" s="98">
        <f>COUNTIFS(AC204:AC211,"&gt;1,50")</f>
        <v>3</v>
      </c>
      <c r="U203" s="98">
        <f>COUNTIFS(AC204:AC211,"&gt;=0,995",AC204:AC211,"&lt;=1,5")</f>
        <v>2</v>
      </c>
      <c r="V203" s="98">
        <f>COUNTIFS(AC204:AC211,"&gt;=0,85",AC204:AC211,"&lt;0,995")</f>
        <v>2</v>
      </c>
      <c r="W203" s="98">
        <f>COUNTIFS(AC204:AC211,"&lt;0,85")</f>
        <v>1</v>
      </c>
      <c r="X203" s="50"/>
      <c r="Z203" s="90">
        <f>COUNTIFS(AD204:AD211,"&gt;=1,01")</f>
        <v>3</v>
      </c>
      <c r="AA203" s="90">
        <f>COUNTIFS(AD204:AD211,"&gt;=0,99",AD204:AD211,"&lt;1,01")</f>
        <v>1</v>
      </c>
      <c r="AB203" s="91">
        <f>COUNTIFS(AD204:AD211,"&lt;0,99")</f>
        <v>4</v>
      </c>
      <c r="AC203" s="64"/>
      <c r="AD203" s="64"/>
      <c r="AK203" s="45">
        <f>SUM(T203:X203)-R203</f>
        <v>0</v>
      </c>
    </row>
    <row r="204" spans="1:37" ht="78.75" outlineLevel="2" x14ac:dyDescent="0.25">
      <c r="A204" s="236" t="s">
        <v>760</v>
      </c>
      <c r="B204" s="42" t="s">
        <v>420</v>
      </c>
      <c r="C204" s="124" t="s">
        <v>320</v>
      </c>
      <c r="D204" s="251" t="s">
        <v>298</v>
      </c>
      <c r="E204" s="140">
        <v>12</v>
      </c>
      <c r="F204" s="140">
        <v>8</v>
      </c>
      <c r="G204" s="140">
        <v>2</v>
      </c>
      <c r="H204" s="131">
        <f>F204/G204</f>
        <v>4</v>
      </c>
      <c r="I204" s="131">
        <f>E204/G204</f>
        <v>6</v>
      </c>
      <c r="J204" s="80" t="s">
        <v>1632</v>
      </c>
      <c r="K204" s="80" t="s">
        <v>41</v>
      </c>
      <c r="L204" s="39" t="s">
        <v>239</v>
      </c>
      <c r="M204" s="40">
        <v>-1</v>
      </c>
      <c r="N204" s="41">
        <f t="shared" ref="N204:N222" si="126">IF(H204&gt;1,1,H204)</f>
        <v>1</v>
      </c>
      <c r="O204" s="41">
        <f t="shared" ref="O204:O222" si="127">IF(I204&gt;1.25,1.25,I204)</f>
        <v>1.25</v>
      </c>
      <c r="AC204" s="64">
        <f t="shared" si="85"/>
        <v>4</v>
      </c>
      <c r="AD204" s="64">
        <f t="shared" si="85"/>
        <v>6</v>
      </c>
    </row>
    <row r="205" spans="1:37" ht="45" outlineLevel="2" x14ac:dyDescent="0.25">
      <c r="A205" s="236" t="s">
        <v>763</v>
      </c>
      <c r="B205" s="121" t="s">
        <v>761</v>
      </c>
      <c r="C205" s="124" t="s">
        <v>320</v>
      </c>
      <c r="D205" s="251" t="s">
        <v>298</v>
      </c>
      <c r="E205" s="140">
        <v>210</v>
      </c>
      <c r="F205" s="140">
        <v>245</v>
      </c>
      <c r="G205" s="140">
        <v>160</v>
      </c>
      <c r="H205" s="131">
        <f t="shared" ref="H205:H207" si="128">F205/G205</f>
        <v>1.53125</v>
      </c>
      <c r="I205" s="131">
        <f>E205/G205</f>
        <v>1.3125</v>
      </c>
      <c r="J205" s="80" t="s">
        <v>1633</v>
      </c>
      <c r="K205" s="80" t="s">
        <v>41</v>
      </c>
      <c r="L205" s="39" t="s">
        <v>239</v>
      </c>
      <c r="M205" s="40">
        <v>-1</v>
      </c>
      <c r="N205" s="41">
        <f t="shared" si="126"/>
        <v>1</v>
      </c>
      <c r="O205" s="41">
        <f t="shared" si="127"/>
        <v>1.25</v>
      </c>
      <c r="AC205" s="64">
        <f t="shared" si="85"/>
        <v>1.53125</v>
      </c>
      <c r="AD205" s="64">
        <f t="shared" si="85"/>
        <v>1.3125</v>
      </c>
    </row>
    <row r="206" spans="1:37" ht="45" outlineLevel="2" x14ac:dyDescent="0.25">
      <c r="A206" s="236" t="s">
        <v>764</v>
      </c>
      <c r="B206" s="121" t="s">
        <v>421</v>
      </c>
      <c r="C206" s="124" t="s">
        <v>334</v>
      </c>
      <c r="D206" s="251" t="s">
        <v>298</v>
      </c>
      <c r="E206" s="140">
        <v>57</v>
      </c>
      <c r="F206" s="140">
        <v>64</v>
      </c>
      <c r="G206" s="140">
        <v>64</v>
      </c>
      <c r="H206" s="131">
        <f t="shared" si="128"/>
        <v>1</v>
      </c>
      <c r="I206" s="131">
        <f t="shared" ref="I206:I207" si="129">E206/G206</f>
        <v>0.890625</v>
      </c>
      <c r="J206" s="80" t="s">
        <v>1634</v>
      </c>
      <c r="K206" s="80" t="s">
        <v>41</v>
      </c>
      <c r="L206" s="39" t="s">
        <v>239</v>
      </c>
      <c r="M206" s="40">
        <v>-1</v>
      </c>
      <c r="N206" s="41">
        <f t="shared" si="126"/>
        <v>1</v>
      </c>
      <c r="O206" s="41">
        <f t="shared" si="127"/>
        <v>0.890625</v>
      </c>
      <c r="AC206" s="64">
        <f t="shared" si="85"/>
        <v>1</v>
      </c>
      <c r="AD206" s="64">
        <f t="shared" si="85"/>
        <v>0.890625</v>
      </c>
    </row>
    <row r="207" spans="1:37" ht="67.5" outlineLevel="2" x14ac:dyDescent="0.25">
      <c r="A207" s="236" t="s">
        <v>765</v>
      </c>
      <c r="B207" s="218" t="s">
        <v>762</v>
      </c>
      <c r="C207" s="124" t="s">
        <v>320</v>
      </c>
      <c r="D207" s="251" t="s">
        <v>298</v>
      </c>
      <c r="E207" s="140">
        <v>148</v>
      </c>
      <c r="F207" s="140">
        <v>94</v>
      </c>
      <c r="G207" s="140">
        <v>160</v>
      </c>
      <c r="H207" s="131">
        <f t="shared" si="128"/>
        <v>0.58750000000000002</v>
      </c>
      <c r="I207" s="131">
        <f t="shared" si="129"/>
        <v>0.92500000000000004</v>
      </c>
      <c r="J207" s="80" t="s">
        <v>1635</v>
      </c>
      <c r="K207" s="80" t="s">
        <v>1623</v>
      </c>
      <c r="L207" s="39" t="s">
        <v>239</v>
      </c>
      <c r="M207" s="40">
        <v>-1</v>
      </c>
      <c r="N207" s="41">
        <f t="shared" si="126"/>
        <v>0.58750000000000002</v>
      </c>
      <c r="O207" s="41">
        <f t="shared" si="127"/>
        <v>0.92500000000000004</v>
      </c>
      <c r="AC207" s="64">
        <f t="shared" si="85"/>
        <v>0.58750000000000002</v>
      </c>
      <c r="AD207" s="64">
        <f t="shared" si="85"/>
        <v>0.92500000000000004</v>
      </c>
    </row>
    <row r="208" spans="1:37" ht="90" outlineLevel="2" x14ac:dyDescent="0.25">
      <c r="A208" s="236" t="s">
        <v>766</v>
      </c>
      <c r="B208" s="121" t="s">
        <v>422</v>
      </c>
      <c r="C208" s="124" t="s">
        <v>334</v>
      </c>
      <c r="D208" s="244" t="s">
        <v>312</v>
      </c>
      <c r="E208" s="140">
        <v>52756</v>
      </c>
      <c r="F208" s="140">
        <v>19500</v>
      </c>
      <c r="G208" s="140">
        <v>31292</v>
      </c>
      <c r="H208" s="131">
        <f>G208/F208</f>
        <v>1.6047179487179488</v>
      </c>
      <c r="I208" s="131">
        <f>G208/E208</f>
        <v>0.59314580332094924</v>
      </c>
      <c r="J208" s="80" t="s">
        <v>1636</v>
      </c>
      <c r="K208" s="80" t="s">
        <v>41</v>
      </c>
      <c r="L208" s="39" t="s">
        <v>239</v>
      </c>
      <c r="M208" s="40">
        <v>1</v>
      </c>
      <c r="N208" s="41">
        <f t="shared" si="126"/>
        <v>1</v>
      </c>
      <c r="O208" s="41">
        <f t="shared" si="127"/>
        <v>0.59314580332094924</v>
      </c>
      <c r="AC208" s="64">
        <f t="shared" si="85"/>
        <v>1.6047179487179488</v>
      </c>
      <c r="AD208" s="64">
        <f t="shared" si="85"/>
        <v>0.59314580332094924</v>
      </c>
    </row>
    <row r="209" spans="1:37" ht="258.75" outlineLevel="2" x14ac:dyDescent="0.25">
      <c r="A209" s="236" t="s">
        <v>767</v>
      </c>
      <c r="B209" s="121" t="s">
        <v>423</v>
      </c>
      <c r="C209" s="124" t="s">
        <v>314</v>
      </c>
      <c r="D209" s="244" t="s">
        <v>312</v>
      </c>
      <c r="E209" s="140">
        <v>92</v>
      </c>
      <c r="F209" s="140">
        <v>98</v>
      </c>
      <c r="G209" s="140">
        <v>92</v>
      </c>
      <c r="H209" s="131">
        <f>G209/F209</f>
        <v>0.93877551020408168</v>
      </c>
      <c r="I209" s="131">
        <f t="shared" ref="I209" si="130">G209/E209</f>
        <v>1</v>
      </c>
      <c r="J209" s="80" t="s">
        <v>1637</v>
      </c>
      <c r="K209" s="80" t="s">
        <v>1638</v>
      </c>
      <c r="L209" s="39" t="s">
        <v>239</v>
      </c>
      <c r="M209" s="40">
        <v>1</v>
      </c>
      <c r="N209" s="41">
        <f t="shared" si="126"/>
        <v>0.93877551020408168</v>
      </c>
      <c r="O209" s="41">
        <f t="shared" si="127"/>
        <v>1</v>
      </c>
      <c r="AC209" s="64">
        <f t="shared" si="85"/>
        <v>0.93877551020408168</v>
      </c>
      <c r="AD209" s="64">
        <f t="shared" si="85"/>
        <v>1</v>
      </c>
    </row>
    <row r="210" spans="1:37" ht="90" outlineLevel="2" x14ac:dyDescent="0.25">
      <c r="A210" s="236" t="s">
        <v>768</v>
      </c>
      <c r="B210" s="218" t="s">
        <v>424</v>
      </c>
      <c r="C210" s="124" t="s">
        <v>416</v>
      </c>
      <c r="D210" s="251" t="s">
        <v>298</v>
      </c>
      <c r="E210" s="140">
        <v>46.6</v>
      </c>
      <c r="F210" s="140">
        <v>59.2</v>
      </c>
      <c r="G210" s="140">
        <v>62</v>
      </c>
      <c r="H210" s="131">
        <f>F210/G210</f>
        <v>0.95483870967741935</v>
      </c>
      <c r="I210" s="131">
        <f>E210/G210</f>
        <v>0.75161290322580643</v>
      </c>
      <c r="J210" s="80" t="s">
        <v>1639</v>
      </c>
      <c r="K210" s="80" t="s">
        <v>1640</v>
      </c>
      <c r="L210" s="39" t="s">
        <v>239</v>
      </c>
      <c r="M210" s="40">
        <v>-1</v>
      </c>
      <c r="N210" s="41">
        <f t="shared" si="126"/>
        <v>0.95483870967741935</v>
      </c>
      <c r="O210" s="41">
        <f t="shared" si="127"/>
        <v>0.75161290322580643</v>
      </c>
      <c r="AC210" s="64">
        <f t="shared" si="85"/>
        <v>0.95483870967741935</v>
      </c>
      <c r="AD210" s="64">
        <f t="shared" si="85"/>
        <v>0.75161290322580643</v>
      </c>
    </row>
    <row r="211" spans="1:37" ht="71.25" customHeight="1" outlineLevel="2" x14ac:dyDescent="0.25">
      <c r="A211" s="236" t="s">
        <v>769</v>
      </c>
      <c r="B211" s="121" t="s">
        <v>425</v>
      </c>
      <c r="C211" s="124" t="s">
        <v>314</v>
      </c>
      <c r="D211" s="251" t="s">
        <v>298</v>
      </c>
      <c r="E211" s="140">
        <v>24.2</v>
      </c>
      <c r="F211" s="140">
        <v>24</v>
      </c>
      <c r="G211" s="140">
        <v>20</v>
      </c>
      <c r="H211" s="131">
        <f>F211/G211</f>
        <v>1.2</v>
      </c>
      <c r="I211" s="131">
        <f>E211/G211</f>
        <v>1.21</v>
      </c>
      <c r="J211" s="80" t="s">
        <v>1641</v>
      </c>
      <c r="K211" s="80" t="s">
        <v>41</v>
      </c>
      <c r="L211" s="39" t="s">
        <v>239</v>
      </c>
      <c r="M211" s="40">
        <v>-1</v>
      </c>
      <c r="N211" s="41">
        <f t="shared" si="126"/>
        <v>1</v>
      </c>
      <c r="O211" s="41">
        <f t="shared" si="127"/>
        <v>1.21</v>
      </c>
      <c r="AC211" s="64">
        <f t="shared" si="85"/>
        <v>1.2</v>
      </c>
      <c r="AD211" s="64">
        <f t="shared" si="85"/>
        <v>1.21</v>
      </c>
    </row>
    <row r="212" spans="1:37" s="45" customFormat="1" ht="23.25" customHeight="1" outlineLevel="1" x14ac:dyDescent="0.25">
      <c r="A212" s="65" t="s">
        <v>137</v>
      </c>
      <c r="B212" s="621" t="s">
        <v>426</v>
      </c>
      <c r="C212" s="622"/>
      <c r="D212" s="622"/>
      <c r="E212" s="622"/>
      <c r="F212" s="622"/>
      <c r="G212" s="623"/>
      <c r="H212" s="66">
        <f>AVERAGE(N213:N213)</f>
        <v>1</v>
      </c>
      <c r="I212" s="66">
        <f>AVERAGE(O213:O213)</f>
        <v>1.05</v>
      </c>
      <c r="J212" s="67"/>
      <c r="K212" s="67"/>
      <c r="L212" s="68"/>
      <c r="M212" s="61"/>
      <c r="N212" s="41"/>
      <c r="O212" s="41"/>
      <c r="P212" s="47"/>
      <c r="Q212" s="47"/>
      <c r="R212" s="98">
        <f>COUNTA(C213)</f>
        <v>1</v>
      </c>
      <c r="S212" s="97">
        <v>0</v>
      </c>
      <c r="T212" s="98">
        <f>COUNTIFS(AC213,"&gt;1,50")</f>
        <v>0</v>
      </c>
      <c r="U212" s="98">
        <f>COUNTIFS(AC213,"&gt;=0,995",AC213,"&lt;=1,5")</f>
        <v>1</v>
      </c>
      <c r="V212" s="98">
        <f>COUNTIFS(AC213,"&gt;=0,85",AC213,"&lt;0,995")</f>
        <v>0</v>
      </c>
      <c r="W212" s="98">
        <f>COUNTIFS(AC213,"&lt;0,85")</f>
        <v>0</v>
      </c>
      <c r="X212" s="50"/>
      <c r="Z212" s="90">
        <f>COUNTIFS(AD213,"&gt;=1,01")</f>
        <v>1</v>
      </c>
      <c r="AA212" s="90">
        <f>COUNTIFS(AD213,"&gt;=0,99",AD213,"&lt;1,01")</f>
        <v>0</v>
      </c>
      <c r="AB212" s="91">
        <f>COUNTIFS(AD213,"&lt;0,99")</f>
        <v>0</v>
      </c>
      <c r="AC212" s="64"/>
      <c r="AD212" s="64"/>
      <c r="AK212" s="45">
        <f>SUM(T212:X212)-R212</f>
        <v>0</v>
      </c>
    </row>
    <row r="213" spans="1:37" ht="33.75" outlineLevel="2" x14ac:dyDescent="0.25">
      <c r="A213" s="236" t="s">
        <v>138</v>
      </c>
      <c r="B213" s="42" t="s">
        <v>427</v>
      </c>
      <c r="C213" s="143" t="s">
        <v>314</v>
      </c>
      <c r="D213" s="264" t="s">
        <v>312</v>
      </c>
      <c r="E213" s="140">
        <v>24</v>
      </c>
      <c r="F213" s="140">
        <v>25</v>
      </c>
      <c r="G213" s="140">
        <v>25.2</v>
      </c>
      <c r="H213" s="125">
        <f t="shared" ref="H213" si="131">G213/F213</f>
        <v>1.008</v>
      </c>
      <c r="I213" s="125">
        <f t="shared" ref="I213" si="132">G213/E213</f>
        <v>1.05</v>
      </c>
      <c r="J213" s="265" t="s">
        <v>41</v>
      </c>
      <c r="K213" s="144" t="s">
        <v>41</v>
      </c>
      <c r="L213" s="39" t="s">
        <v>239</v>
      </c>
      <c r="M213" s="40">
        <v>1</v>
      </c>
      <c r="N213" s="41">
        <f t="shared" si="126"/>
        <v>1</v>
      </c>
      <c r="O213" s="41">
        <f t="shared" si="127"/>
        <v>1.05</v>
      </c>
      <c r="AC213" s="64">
        <f t="shared" si="85"/>
        <v>1.008</v>
      </c>
      <c r="AD213" s="64">
        <f t="shared" si="85"/>
        <v>1.05</v>
      </c>
    </row>
    <row r="214" spans="1:37" s="45" customFormat="1" ht="25.5" customHeight="1" x14ac:dyDescent="0.25">
      <c r="A214" s="401">
        <v>7</v>
      </c>
      <c r="B214" s="624" t="s">
        <v>835</v>
      </c>
      <c r="C214" s="624"/>
      <c r="D214" s="624"/>
      <c r="E214" s="624"/>
      <c r="F214" s="624"/>
      <c r="G214" s="624"/>
      <c r="H214" s="402">
        <f>AVERAGE(N215:N257)</f>
        <v>0.92422962300388201</v>
      </c>
      <c r="I214" s="402">
        <f>AVERAGE(O215:O222,O224:O234,O236:O241,O243:O244,O246:O254,O256:O257)</f>
        <v>0.99256041742712064</v>
      </c>
      <c r="J214" s="403"/>
      <c r="K214" s="403"/>
      <c r="L214" s="404"/>
      <c r="M214" s="61"/>
      <c r="N214" s="41"/>
      <c r="O214" s="41"/>
      <c r="P214" s="47"/>
      <c r="Q214" s="47"/>
      <c r="R214" s="104">
        <f>COUNTA(C215:C257)</f>
        <v>38</v>
      </c>
      <c r="S214" s="96">
        <v>1</v>
      </c>
      <c r="T214" s="104">
        <f>COUNTIFS(AC215:AC257,"&gt;1,50")</f>
        <v>2</v>
      </c>
      <c r="U214" s="104">
        <f>COUNTIFS(AC215:AC257,"&gt;=0,995",AC215:AC257,"&lt;=1,5")</f>
        <v>27</v>
      </c>
      <c r="V214" s="104">
        <f>COUNTIFS(AC215:AC257,"&gt;=0,85",AC215:AC257,"&lt;0,995")</f>
        <v>3</v>
      </c>
      <c r="W214" s="104">
        <f>COUNTIFS(AC215:AC257,"&lt;0,85")</f>
        <v>5</v>
      </c>
      <c r="X214" s="47"/>
      <c r="Z214" s="94">
        <f>COUNTIFS(AD215:AD257,"&gt;=1,01")</f>
        <v>10</v>
      </c>
      <c r="AA214" s="94">
        <f>COUNTIFS(AD215:AD257,"&gt;=0,99",AD215:AD257,"&lt;1,01")</f>
        <v>1</v>
      </c>
      <c r="AB214" s="95">
        <f>COUNTIFS(AD215:AD257,"&lt;0,99")</f>
        <v>3</v>
      </c>
      <c r="AC214" s="64"/>
      <c r="AD214" s="64"/>
      <c r="AK214" s="45">
        <f>SUM(T214:X214)-R214</f>
        <v>-1</v>
      </c>
    </row>
    <row r="215" spans="1:37" ht="22.5" outlineLevel="2" x14ac:dyDescent="0.25">
      <c r="A215" s="236" t="s">
        <v>428</v>
      </c>
      <c r="B215" s="266" t="s">
        <v>836</v>
      </c>
      <c r="C215" s="267" t="s">
        <v>429</v>
      </c>
      <c r="D215" s="244" t="s">
        <v>312</v>
      </c>
      <c r="E215" s="221">
        <v>60.701999999999998</v>
      </c>
      <c r="F215" s="221">
        <v>54</v>
      </c>
      <c r="G215" s="221">
        <v>72.153999999999996</v>
      </c>
      <c r="H215" s="268">
        <f>G215/F215</f>
        <v>1.3361851851851851</v>
      </c>
      <c r="I215" s="268">
        <f>G215/E215</f>
        <v>1.1886593522453954</v>
      </c>
      <c r="J215" s="269" t="s">
        <v>1952</v>
      </c>
      <c r="K215" s="269" t="s">
        <v>41</v>
      </c>
      <c r="L215" s="270" t="s">
        <v>79</v>
      </c>
      <c r="M215" s="40">
        <v>1</v>
      </c>
      <c r="N215" s="41">
        <f t="shared" si="126"/>
        <v>1</v>
      </c>
      <c r="O215" s="41">
        <f t="shared" si="127"/>
        <v>1.1886593522453954</v>
      </c>
      <c r="T215" s="353" t="s">
        <v>1976</v>
      </c>
      <c r="AC215" s="64">
        <f t="shared" si="85"/>
        <v>1.3361851851851851</v>
      </c>
      <c r="AD215" s="64">
        <f t="shared" si="85"/>
        <v>1.1886593522453954</v>
      </c>
    </row>
    <row r="216" spans="1:37" ht="53.25" customHeight="1" outlineLevel="2" x14ac:dyDescent="0.25">
      <c r="A216" s="236" t="s">
        <v>430</v>
      </c>
      <c r="B216" s="266" t="s">
        <v>837</v>
      </c>
      <c r="C216" s="267" t="s">
        <v>1951</v>
      </c>
      <c r="D216" s="244" t="s">
        <v>312</v>
      </c>
      <c r="E216" s="221">
        <v>16</v>
      </c>
      <c r="F216" s="221">
        <v>19.899999999999999</v>
      </c>
      <c r="G216" s="221">
        <v>17.997</v>
      </c>
      <c r="H216" s="268">
        <f t="shared" ref="H216:H217" si="133">G216/F216</f>
        <v>0.90437185929648245</v>
      </c>
      <c r="I216" s="268">
        <f t="shared" ref="I216:I219" si="134">G216/E216</f>
        <v>1.1248125</v>
      </c>
      <c r="J216" s="269" t="s">
        <v>1953</v>
      </c>
      <c r="K216" s="397" t="s">
        <v>1954</v>
      </c>
      <c r="L216" s="39" t="s">
        <v>79</v>
      </c>
      <c r="M216" s="40">
        <v>1</v>
      </c>
      <c r="N216" s="41">
        <f t="shared" si="126"/>
        <v>0.90437185929648245</v>
      </c>
      <c r="O216" s="41">
        <f t="shared" si="127"/>
        <v>1.1248125</v>
      </c>
      <c r="AC216" s="64">
        <f t="shared" ref="AC216:AD265" si="135">H216</f>
        <v>0.90437185929648245</v>
      </c>
      <c r="AD216" s="64">
        <f t="shared" si="135"/>
        <v>1.1248125</v>
      </c>
    </row>
    <row r="217" spans="1:37" ht="45" outlineLevel="2" x14ac:dyDescent="0.25">
      <c r="A217" s="236" t="s">
        <v>431</v>
      </c>
      <c r="B217" s="42" t="s">
        <v>838</v>
      </c>
      <c r="C217" s="153" t="s">
        <v>839</v>
      </c>
      <c r="D217" s="260" t="s">
        <v>331</v>
      </c>
      <c r="E217" s="220">
        <v>33180</v>
      </c>
      <c r="F217" s="127">
        <v>7900</v>
      </c>
      <c r="G217" s="127">
        <v>45820</v>
      </c>
      <c r="H217" s="268">
        <f t="shared" si="133"/>
        <v>5.8</v>
      </c>
      <c r="I217" s="268" t="s">
        <v>41</v>
      </c>
      <c r="J217" s="269" t="s">
        <v>1955</v>
      </c>
      <c r="K217" s="134" t="s">
        <v>41</v>
      </c>
      <c r="L217" s="39" t="s">
        <v>79</v>
      </c>
      <c r="M217" s="40">
        <v>0</v>
      </c>
      <c r="N217" s="41">
        <f t="shared" si="126"/>
        <v>1</v>
      </c>
      <c r="O217" s="41" t="s">
        <v>41</v>
      </c>
      <c r="AC217" s="64">
        <f t="shared" si="135"/>
        <v>5.8</v>
      </c>
      <c r="AD217" s="64" t="str">
        <f t="shared" si="135"/>
        <v>-</v>
      </c>
    </row>
    <row r="218" spans="1:37" ht="33.75" customHeight="1" outlineLevel="2" x14ac:dyDescent="0.25">
      <c r="A218" s="236" t="s">
        <v>1377</v>
      </c>
      <c r="B218" s="398" t="s">
        <v>1378</v>
      </c>
      <c r="C218" s="274" t="s">
        <v>314</v>
      </c>
      <c r="D218" s="244" t="s">
        <v>312</v>
      </c>
      <c r="E218" s="390">
        <v>23.8</v>
      </c>
      <c r="F218" s="390">
        <v>26.1</v>
      </c>
      <c r="G218" s="390">
        <v>26.1</v>
      </c>
      <c r="H218" s="268">
        <f t="shared" ref="H218" si="136">G218/F218</f>
        <v>1</v>
      </c>
      <c r="I218" s="268">
        <f t="shared" si="134"/>
        <v>1.096638655462185</v>
      </c>
      <c r="J218" s="272" t="s">
        <v>41</v>
      </c>
      <c r="K218" s="272" t="s">
        <v>41</v>
      </c>
      <c r="L218" s="275" t="s">
        <v>451</v>
      </c>
      <c r="M218" s="40">
        <v>1</v>
      </c>
      <c r="N218" s="41">
        <f t="shared" si="126"/>
        <v>1</v>
      </c>
      <c r="O218" s="41">
        <f t="shared" si="127"/>
        <v>1.096638655462185</v>
      </c>
      <c r="AC218" s="64">
        <f t="shared" si="135"/>
        <v>1</v>
      </c>
      <c r="AD218" s="64">
        <f t="shared" si="135"/>
        <v>1.096638655462185</v>
      </c>
    </row>
    <row r="219" spans="1:37" ht="45.75" customHeight="1" outlineLevel="2" x14ac:dyDescent="0.25">
      <c r="A219" s="236" t="s">
        <v>1379</v>
      </c>
      <c r="B219" s="273" t="s">
        <v>449</v>
      </c>
      <c r="C219" s="274" t="s">
        <v>314</v>
      </c>
      <c r="D219" s="244" t="s">
        <v>312</v>
      </c>
      <c r="E219" s="390">
        <v>47.5</v>
      </c>
      <c r="F219" s="390">
        <v>49.2</v>
      </c>
      <c r="G219" s="390">
        <v>49.2</v>
      </c>
      <c r="H219" s="268">
        <f>G219/F219</f>
        <v>1</v>
      </c>
      <c r="I219" s="268">
        <f t="shared" si="134"/>
        <v>1.0357894736842106</v>
      </c>
      <c r="J219" s="390" t="s">
        <v>41</v>
      </c>
      <c r="K219" s="390" t="s">
        <v>41</v>
      </c>
      <c r="L219" s="275" t="s">
        <v>451</v>
      </c>
      <c r="M219" s="40">
        <v>1</v>
      </c>
      <c r="N219" s="41">
        <f t="shared" ref="N219:N220" si="137">IF(H219&gt;1,1,H219)</f>
        <v>1</v>
      </c>
      <c r="O219" s="41">
        <f t="shared" si="127"/>
        <v>1.0357894736842106</v>
      </c>
      <c r="AC219" s="64">
        <f t="shared" si="135"/>
        <v>1</v>
      </c>
      <c r="AD219" s="64">
        <f t="shared" si="135"/>
        <v>1.0357894736842106</v>
      </c>
    </row>
    <row r="220" spans="1:37" ht="45" outlineLevel="2" x14ac:dyDescent="0.25">
      <c r="A220" s="236" t="s">
        <v>433</v>
      </c>
      <c r="B220" s="273" t="s">
        <v>840</v>
      </c>
      <c r="C220" s="274" t="s">
        <v>314</v>
      </c>
      <c r="D220" s="143" t="s">
        <v>331</v>
      </c>
      <c r="E220" s="390">
        <v>100</v>
      </c>
      <c r="F220" s="390">
        <v>100</v>
      </c>
      <c r="G220" s="390">
        <v>100</v>
      </c>
      <c r="H220" s="268">
        <f>G220/F220</f>
        <v>1</v>
      </c>
      <c r="I220" s="268" t="s">
        <v>41</v>
      </c>
      <c r="J220" s="390" t="s">
        <v>41</v>
      </c>
      <c r="K220" s="390" t="s">
        <v>41</v>
      </c>
      <c r="L220" s="275" t="s">
        <v>887</v>
      </c>
      <c r="M220" s="40">
        <v>0</v>
      </c>
      <c r="N220" s="41">
        <f t="shared" si="137"/>
        <v>1</v>
      </c>
      <c r="O220" s="41" t="s">
        <v>41</v>
      </c>
      <c r="AC220" s="64">
        <f t="shared" si="135"/>
        <v>1</v>
      </c>
      <c r="AD220" s="64" t="s">
        <v>41</v>
      </c>
    </row>
    <row r="221" spans="1:37" ht="22.5" outlineLevel="2" x14ac:dyDescent="0.25">
      <c r="A221" s="236" t="s">
        <v>1380</v>
      </c>
      <c r="B221" s="273" t="s">
        <v>1382</v>
      </c>
      <c r="C221" s="274" t="s">
        <v>334</v>
      </c>
      <c r="D221" s="244" t="s">
        <v>312</v>
      </c>
      <c r="E221" s="390">
        <v>217</v>
      </c>
      <c r="F221" s="390">
        <v>224</v>
      </c>
      <c r="G221" s="390">
        <v>224</v>
      </c>
      <c r="H221" s="268">
        <f>G221/F221</f>
        <v>1</v>
      </c>
      <c r="I221" s="268">
        <f>G221/E221</f>
        <v>1.032258064516129</v>
      </c>
      <c r="J221" s="390" t="s">
        <v>1956</v>
      </c>
      <c r="K221" s="390" t="s">
        <v>41</v>
      </c>
      <c r="L221" s="275" t="s">
        <v>451</v>
      </c>
      <c r="M221" s="40">
        <v>1</v>
      </c>
      <c r="N221" s="41" t="s">
        <v>41</v>
      </c>
      <c r="O221" s="41" t="s">
        <v>41</v>
      </c>
      <c r="AC221" s="64">
        <f t="shared" si="135"/>
        <v>1</v>
      </c>
      <c r="AD221" s="64">
        <f t="shared" si="135"/>
        <v>1.032258064516129</v>
      </c>
    </row>
    <row r="222" spans="1:37" ht="70.5" customHeight="1" outlineLevel="2" x14ac:dyDescent="0.25">
      <c r="A222" s="236" t="s">
        <v>1381</v>
      </c>
      <c r="B222" s="273" t="s">
        <v>453</v>
      </c>
      <c r="C222" s="274" t="s">
        <v>314</v>
      </c>
      <c r="D222" s="244" t="s">
        <v>312</v>
      </c>
      <c r="E222" s="127">
        <v>25.8</v>
      </c>
      <c r="F222" s="127">
        <v>30</v>
      </c>
      <c r="G222" s="127">
        <v>30</v>
      </c>
      <c r="H222" s="268">
        <f>G222/F222</f>
        <v>1</v>
      </c>
      <c r="I222" s="268">
        <f>G222/E222</f>
        <v>1.1627906976744187</v>
      </c>
      <c r="J222" s="127" t="s">
        <v>41</v>
      </c>
      <c r="K222" s="127" t="s">
        <v>41</v>
      </c>
      <c r="L222" s="275" t="s">
        <v>451</v>
      </c>
      <c r="M222" s="40">
        <v>1</v>
      </c>
      <c r="N222" s="41">
        <f t="shared" si="126"/>
        <v>1</v>
      </c>
      <c r="O222" s="41">
        <f t="shared" si="127"/>
        <v>1.1627906976744187</v>
      </c>
      <c r="AC222" s="64">
        <f t="shared" si="135"/>
        <v>1</v>
      </c>
      <c r="AD222" s="64">
        <f t="shared" si="135"/>
        <v>1.1627906976744187</v>
      </c>
    </row>
    <row r="223" spans="1:37" s="45" customFormat="1" outlineLevel="1" x14ac:dyDescent="0.25">
      <c r="A223" s="65" t="s">
        <v>139</v>
      </c>
      <c r="B223" s="619" t="s">
        <v>841</v>
      </c>
      <c r="C223" s="619"/>
      <c r="D223" s="619"/>
      <c r="E223" s="619"/>
      <c r="F223" s="619"/>
      <c r="G223" s="619"/>
      <c r="H223" s="73">
        <f>AVERAGE(N224:N234)</f>
        <v>0.9560038833628558</v>
      </c>
      <c r="I223" s="73">
        <f>AVERAGE(O224:O234)</f>
        <v>0.99678195986084372</v>
      </c>
      <c r="J223" s="67"/>
      <c r="K223" s="67"/>
      <c r="L223" s="68"/>
      <c r="M223" s="61"/>
      <c r="N223" s="188"/>
      <c r="O223" s="188"/>
      <c r="P223" s="47"/>
      <c r="Q223" s="47"/>
      <c r="R223" s="98">
        <f>COUNTA(C224:C234)</f>
        <v>11</v>
      </c>
      <c r="S223" s="97">
        <v>0</v>
      </c>
      <c r="T223" s="98">
        <f>COUNTIFS(AC224:AC234,"&gt;1,50")</f>
        <v>1</v>
      </c>
      <c r="U223" s="98">
        <f>COUNTIFS(AC224:AC234,"&gt;=0,995",AC224:AC234,"&lt;=1,5")</f>
        <v>7</v>
      </c>
      <c r="V223" s="98">
        <f>COUNTIFS(AC224:AC234,"&gt;=0,85",AC224:AC234,"&lt;0,995")</f>
        <v>2</v>
      </c>
      <c r="W223" s="98">
        <f>COUNTIFS(AC224:AC234,"&lt;0,85")</f>
        <v>1</v>
      </c>
      <c r="X223" s="50"/>
      <c r="Z223" s="90">
        <f>COUNTIFS(AD224:AD234,"&gt;=1,01")</f>
        <v>1</v>
      </c>
      <c r="AA223" s="90">
        <f>COUNTIFS(AD224:AD234,"&gt;=0,99",AD224:AD234,"&lt;1,01")</f>
        <v>1</v>
      </c>
      <c r="AB223" s="91">
        <f>COUNTIFS(AD224:AD234,"&lt;0,99")</f>
        <v>2</v>
      </c>
      <c r="AC223" s="64"/>
      <c r="AD223" s="64"/>
      <c r="AK223" s="45">
        <f>SUM(T223:X223)-R223</f>
        <v>0</v>
      </c>
    </row>
    <row r="224" spans="1:37" ht="39.75" customHeight="1" outlineLevel="2" x14ac:dyDescent="0.25">
      <c r="A224" s="236" t="s">
        <v>434</v>
      </c>
      <c r="B224" s="38" t="s">
        <v>842</v>
      </c>
      <c r="C224" s="153" t="s">
        <v>843</v>
      </c>
      <c r="D224" s="260" t="s">
        <v>331</v>
      </c>
      <c r="E224" s="153">
        <v>4</v>
      </c>
      <c r="F224" s="276">
        <v>4</v>
      </c>
      <c r="G224" s="276">
        <v>4</v>
      </c>
      <c r="H224" s="268">
        <f t="shared" ref="H224:H228" si="138">G224/F224</f>
        <v>1</v>
      </c>
      <c r="I224" s="268" t="s">
        <v>41</v>
      </c>
      <c r="J224" s="153" t="s">
        <v>41</v>
      </c>
      <c r="K224" s="153" t="s">
        <v>41</v>
      </c>
      <c r="L224" s="275" t="s">
        <v>79</v>
      </c>
      <c r="M224" s="40">
        <v>0</v>
      </c>
      <c r="N224" s="41">
        <f t="shared" ref="N224:N228" si="139">IF(H224&gt;1,1,H224)</f>
        <v>1</v>
      </c>
      <c r="O224" s="41" t="s">
        <v>41</v>
      </c>
      <c r="AC224" s="64">
        <f t="shared" si="135"/>
        <v>1</v>
      </c>
      <c r="AD224" s="64"/>
    </row>
    <row r="225" spans="1:37" ht="54" customHeight="1" outlineLevel="2" x14ac:dyDescent="0.25">
      <c r="A225" s="236" t="s">
        <v>435</v>
      </c>
      <c r="B225" s="38" t="s">
        <v>1383</v>
      </c>
      <c r="C225" s="279" t="s">
        <v>314</v>
      </c>
      <c r="D225" s="244" t="s">
        <v>312</v>
      </c>
      <c r="E225" s="277">
        <v>32.159999999999997</v>
      </c>
      <c r="F225" s="278">
        <v>35.799999999999997</v>
      </c>
      <c r="G225" s="278">
        <v>35.01</v>
      </c>
      <c r="H225" s="268">
        <f t="shared" si="138"/>
        <v>0.97793296089385473</v>
      </c>
      <c r="I225" s="268">
        <f t="shared" ref="I225:I227" si="140">G225/E225</f>
        <v>1.0886194029850746</v>
      </c>
      <c r="J225" s="153" t="s">
        <v>1957</v>
      </c>
      <c r="K225" s="153" t="s">
        <v>1958</v>
      </c>
      <c r="L225" s="275" t="s">
        <v>79</v>
      </c>
      <c r="M225" s="40">
        <v>0</v>
      </c>
      <c r="N225" s="41">
        <f t="shared" si="139"/>
        <v>0.97793296089385473</v>
      </c>
      <c r="O225" s="41">
        <f t="shared" ref="O225:O227" si="141">IF(I225&gt;1.25,1.25,I225)</f>
        <v>1.0886194029850746</v>
      </c>
      <c r="AC225" s="64">
        <f t="shared" si="135"/>
        <v>0.97793296089385473</v>
      </c>
      <c r="AD225" s="64">
        <f t="shared" si="135"/>
        <v>1.0886194029850746</v>
      </c>
    </row>
    <row r="226" spans="1:37" ht="81.75" customHeight="1" outlineLevel="2" x14ac:dyDescent="0.25">
      <c r="A226" s="236" t="s">
        <v>436</v>
      </c>
      <c r="B226" s="280" t="s">
        <v>844</v>
      </c>
      <c r="C226" s="281" t="s">
        <v>314</v>
      </c>
      <c r="D226" s="244" t="s">
        <v>312</v>
      </c>
      <c r="E226" s="127">
        <v>79.599999999999994</v>
      </c>
      <c r="F226" s="127">
        <v>80.400000000000006</v>
      </c>
      <c r="G226" s="127">
        <v>80.400000000000006</v>
      </c>
      <c r="H226" s="268">
        <f t="shared" si="138"/>
        <v>1</v>
      </c>
      <c r="I226" s="131">
        <f t="shared" si="140"/>
        <v>1.0100502512562815</v>
      </c>
      <c r="J226" s="153" t="s">
        <v>41</v>
      </c>
      <c r="K226" s="127" t="s">
        <v>41</v>
      </c>
      <c r="L226" s="215" t="s">
        <v>79</v>
      </c>
      <c r="M226" s="40">
        <v>1</v>
      </c>
      <c r="N226" s="41">
        <f t="shared" si="139"/>
        <v>1</v>
      </c>
      <c r="O226" s="41" t="s">
        <v>41</v>
      </c>
      <c r="AC226" s="64">
        <f t="shared" si="135"/>
        <v>1</v>
      </c>
      <c r="AD226" s="64" t="s">
        <v>41</v>
      </c>
    </row>
    <row r="227" spans="1:37" ht="67.5" outlineLevel="2" x14ac:dyDescent="0.25">
      <c r="A227" s="236" t="s">
        <v>437</v>
      </c>
      <c r="B227" s="38" t="s">
        <v>440</v>
      </c>
      <c r="C227" s="279" t="s">
        <v>334</v>
      </c>
      <c r="D227" s="244" t="s">
        <v>312</v>
      </c>
      <c r="E227" s="127">
        <v>81</v>
      </c>
      <c r="F227" s="127">
        <v>72</v>
      </c>
      <c r="G227" s="127">
        <v>74</v>
      </c>
      <c r="H227" s="268">
        <f t="shared" si="138"/>
        <v>1.0277777777777777</v>
      </c>
      <c r="I227" s="131">
        <f t="shared" si="140"/>
        <v>0.9135802469135802</v>
      </c>
      <c r="J227" s="127" t="s">
        <v>1959</v>
      </c>
      <c r="K227" s="350" t="s">
        <v>41</v>
      </c>
      <c r="L227" s="215" t="s">
        <v>79</v>
      </c>
      <c r="M227" s="40">
        <v>1</v>
      </c>
      <c r="N227" s="41">
        <f t="shared" si="139"/>
        <v>1</v>
      </c>
      <c r="O227" s="41">
        <f t="shared" si="141"/>
        <v>0.9135802469135802</v>
      </c>
      <c r="AC227" s="64">
        <f t="shared" si="135"/>
        <v>1.0277777777777777</v>
      </c>
      <c r="AD227" s="64">
        <f t="shared" si="135"/>
        <v>0.9135802469135802</v>
      </c>
    </row>
    <row r="228" spans="1:37" ht="56.25" outlineLevel="2" x14ac:dyDescent="0.25">
      <c r="A228" s="236" t="s">
        <v>438</v>
      </c>
      <c r="B228" s="282" t="s">
        <v>845</v>
      </c>
      <c r="C228" s="279" t="s">
        <v>334</v>
      </c>
      <c r="D228" s="284" t="s">
        <v>331</v>
      </c>
      <c r="E228" s="285">
        <v>48</v>
      </c>
      <c r="F228" s="285">
        <v>48</v>
      </c>
      <c r="G228" s="127">
        <v>27</v>
      </c>
      <c r="H228" s="268">
        <f t="shared" si="138"/>
        <v>0.5625</v>
      </c>
      <c r="I228" s="131" t="s">
        <v>41</v>
      </c>
      <c r="J228" s="453" t="s">
        <v>1959</v>
      </c>
      <c r="K228" s="350" t="s">
        <v>41</v>
      </c>
      <c r="L228" s="275" t="s">
        <v>79</v>
      </c>
      <c r="M228" s="40">
        <v>0</v>
      </c>
      <c r="N228" s="41">
        <f t="shared" si="139"/>
        <v>0.5625</v>
      </c>
      <c r="O228" s="41" t="s">
        <v>41</v>
      </c>
      <c r="AC228" s="64">
        <f t="shared" si="135"/>
        <v>0.5625</v>
      </c>
      <c r="AD228" s="64" t="str">
        <f t="shared" si="135"/>
        <v>-</v>
      </c>
    </row>
    <row r="229" spans="1:37" ht="56.25" outlineLevel="2" x14ac:dyDescent="0.25">
      <c r="A229" s="236" t="s">
        <v>439</v>
      </c>
      <c r="B229" s="42" t="s">
        <v>846</v>
      </c>
      <c r="C229" s="279" t="s">
        <v>334</v>
      </c>
      <c r="D229" s="287" t="s">
        <v>331</v>
      </c>
      <c r="E229" s="390">
        <v>433</v>
      </c>
      <c r="F229" s="390">
        <v>424</v>
      </c>
      <c r="G229" s="390">
        <v>614</v>
      </c>
      <c r="H229" s="257">
        <f>G229/F229</f>
        <v>1.4481132075471699</v>
      </c>
      <c r="I229" s="131" t="s">
        <v>41</v>
      </c>
      <c r="J229" s="269" t="s">
        <v>1960</v>
      </c>
      <c r="K229" s="350" t="s">
        <v>41</v>
      </c>
      <c r="L229" s="275" t="s">
        <v>79</v>
      </c>
      <c r="M229" s="74">
        <v>0</v>
      </c>
      <c r="N229" s="41">
        <f>IF(H229&gt;1,1,H229)</f>
        <v>1</v>
      </c>
      <c r="O229" s="41" t="s">
        <v>41</v>
      </c>
      <c r="AC229" s="64">
        <f t="shared" si="135"/>
        <v>1.4481132075471699</v>
      </c>
      <c r="AD229" s="64" t="str">
        <f t="shared" si="135"/>
        <v>-</v>
      </c>
    </row>
    <row r="230" spans="1:37" ht="45" outlineLevel="2" x14ac:dyDescent="0.25">
      <c r="A230" s="236" t="s">
        <v>1384</v>
      </c>
      <c r="B230" s="286" t="s">
        <v>1385</v>
      </c>
      <c r="C230" s="153" t="s">
        <v>314</v>
      </c>
      <c r="D230" s="244" t="s">
        <v>312</v>
      </c>
      <c r="E230" s="285">
        <v>87.69</v>
      </c>
      <c r="F230" s="285">
        <v>87</v>
      </c>
      <c r="G230" s="285">
        <v>87.4</v>
      </c>
      <c r="H230" s="268">
        <f t="shared" ref="H230:H231" si="142">G230/F230</f>
        <v>1.0045977011494254</v>
      </c>
      <c r="I230" s="131">
        <f t="shared" ref="I230:I234" si="143">G230/E230</f>
        <v>0.99669289542707273</v>
      </c>
      <c r="J230" s="219" t="s">
        <v>41</v>
      </c>
      <c r="K230" s="285" t="s">
        <v>41</v>
      </c>
      <c r="L230" s="39" t="s">
        <v>887</v>
      </c>
      <c r="M230" s="40">
        <v>1</v>
      </c>
      <c r="N230" s="41">
        <f t="shared" ref="N230" si="144">IF(H230&gt;1,1,H230)</f>
        <v>1</v>
      </c>
      <c r="O230" s="41">
        <f t="shared" ref="O230" si="145">IF(I230&gt;1.25,1.25,I230)</f>
        <v>0.99669289542707273</v>
      </c>
      <c r="AC230" s="64">
        <f t="shared" si="135"/>
        <v>1.0045977011494254</v>
      </c>
      <c r="AD230" s="64">
        <f t="shared" si="135"/>
        <v>0.99669289542707273</v>
      </c>
    </row>
    <row r="231" spans="1:37" ht="56.25" outlineLevel="2" x14ac:dyDescent="0.25">
      <c r="A231" s="236" t="s">
        <v>1125</v>
      </c>
      <c r="B231" s="286" t="s">
        <v>930</v>
      </c>
      <c r="C231" s="153" t="s">
        <v>334</v>
      </c>
      <c r="D231" s="287" t="s">
        <v>331</v>
      </c>
      <c r="E231" s="285">
        <v>2</v>
      </c>
      <c r="F231" s="285">
        <v>3</v>
      </c>
      <c r="G231" s="285">
        <v>3</v>
      </c>
      <c r="H231" s="268">
        <f t="shared" si="142"/>
        <v>1</v>
      </c>
      <c r="I231" s="131" t="s">
        <v>41</v>
      </c>
      <c r="J231" s="285" t="s">
        <v>41</v>
      </c>
      <c r="K231" s="350" t="s">
        <v>41</v>
      </c>
      <c r="L231" s="39" t="s">
        <v>79</v>
      </c>
      <c r="M231" s="40">
        <v>0</v>
      </c>
      <c r="N231" s="41">
        <f>IF(H231&gt;1,1,H231)</f>
        <v>1</v>
      </c>
      <c r="O231" s="162" t="s">
        <v>41</v>
      </c>
      <c r="AC231" s="64">
        <f t="shared" si="135"/>
        <v>1</v>
      </c>
      <c r="AD231" s="64" t="s">
        <v>41</v>
      </c>
    </row>
    <row r="232" spans="1:37" ht="67.5" outlineLevel="2" x14ac:dyDescent="0.25">
      <c r="A232" s="236" t="s">
        <v>929</v>
      </c>
      <c r="B232" s="286" t="s">
        <v>1126</v>
      </c>
      <c r="C232" s="153" t="s">
        <v>334</v>
      </c>
      <c r="D232" s="287" t="s">
        <v>331</v>
      </c>
      <c r="E232" s="285">
        <v>44</v>
      </c>
      <c r="F232" s="285">
        <v>41</v>
      </c>
      <c r="G232" s="285">
        <v>40</v>
      </c>
      <c r="H232" s="257">
        <f>G232/F232</f>
        <v>0.97560975609756095</v>
      </c>
      <c r="I232" s="131" t="s">
        <v>41</v>
      </c>
      <c r="J232" s="269" t="s">
        <v>1961</v>
      </c>
      <c r="K232" s="269" t="s">
        <v>1962</v>
      </c>
      <c r="L232" s="39" t="s">
        <v>79</v>
      </c>
      <c r="M232" s="40">
        <v>0</v>
      </c>
      <c r="N232" s="41">
        <f>IF(H232&gt;1,1,H232)</f>
        <v>0.97560975609756095</v>
      </c>
      <c r="O232" s="162" t="s">
        <v>41</v>
      </c>
      <c r="AC232" s="64">
        <f t="shared" si="135"/>
        <v>0.97560975609756095</v>
      </c>
      <c r="AD232" s="64" t="s">
        <v>41</v>
      </c>
    </row>
    <row r="233" spans="1:37" ht="56.25" outlineLevel="2" x14ac:dyDescent="0.25">
      <c r="A233" s="236" t="s">
        <v>1127</v>
      </c>
      <c r="B233" s="286" t="s">
        <v>1128</v>
      </c>
      <c r="C233" s="153" t="s">
        <v>334</v>
      </c>
      <c r="D233" s="287" t="s">
        <v>331</v>
      </c>
      <c r="E233" s="285">
        <v>462</v>
      </c>
      <c r="F233" s="285">
        <v>423</v>
      </c>
      <c r="G233" s="285">
        <v>742</v>
      </c>
      <c r="H233" s="257">
        <f>G233/F233</f>
        <v>1.7541371158392436</v>
      </c>
      <c r="I233" s="131" t="s">
        <v>41</v>
      </c>
      <c r="J233" s="285" t="s">
        <v>1963</v>
      </c>
      <c r="K233" s="285" t="s">
        <v>41</v>
      </c>
      <c r="L233" s="39" t="s">
        <v>79</v>
      </c>
      <c r="M233" s="40">
        <v>0</v>
      </c>
      <c r="N233" s="41">
        <f>IF(H233&gt;1,1,H233)</f>
        <v>1</v>
      </c>
      <c r="O233" s="162" t="s">
        <v>41</v>
      </c>
      <c r="AC233" s="64">
        <f t="shared" si="135"/>
        <v>1.7541371158392436</v>
      </c>
      <c r="AD233" s="64" t="s">
        <v>41</v>
      </c>
    </row>
    <row r="234" spans="1:37" ht="63.75" customHeight="1" outlineLevel="2" x14ac:dyDescent="0.25">
      <c r="A234" s="236" t="s">
        <v>1129</v>
      </c>
      <c r="B234" s="286" t="s">
        <v>1263</v>
      </c>
      <c r="C234" s="153" t="s">
        <v>1264</v>
      </c>
      <c r="D234" s="244" t="s">
        <v>312</v>
      </c>
      <c r="E234" s="285">
        <v>0.17</v>
      </c>
      <c r="F234" s="285">
        <v>0.16800000000000001</v>
      </c>
      <c r="G234" s="454">
        <v>0.16800000000000001</v>
      </c>
      <c r="H234" s="257">
        <f>G234/F234</f>
        <v>1</v>
      </c>
      <c r="I234" s="131">
        <f t="shared" si="143"/>
        <v>0.9882352941176471</v>
      </c>
      <c r="J234" s="285" t="s">
        <v>1964</v>
      </c>
      <c r="K234" s="285" t="s">
        <v>41</v>
      </c>
      <c r="L234" s="39" t="s">
        <v>79</v>
      </c>
      <c r="M234" s="40">
        <v>1</v>
      </c>
      <c r="N234" s="41">
        <f>IF(H234&gt;1,1,H234)</f>
        <v>1</v>
      </c>
      <c r="O234" s="41">
        <f t="shared" ref="O234" si="146">IF(I234&gt;1.25,1.25,I234)</f>
        <v>0.9882352941176471</v>
      </c>
      <c r="AC234" s="64">
        <f t="shared" si="135"/>
        <v>1</v>
      </c>
      <c r="AD234" s="64">
        <f t="shared" si="135"/>
        <v>0.9882352941176471</v>
      </c>
    </row>
    <row r="235" spans="1:37" s="45" customFormat="1" ht="22.5" customHeight="1" outlineLevel="1" x14ac:dyDescent="0.25">
      <c r="A235" s="158" t="s">
        <v>140</v>
      </c>
      <c r="B235" s="641" t="s">
        <v>847</v>
      </c>
      <c r="C235" s="642"/>
      <c r="D235" s="642"/>
      <c r="E235" s="642"/>
      <c r="F235" s="642"/>
      <c r="G235" s="643"/>
      <c r="H235" s="159">
        <f>AVERAGE(N236:N241)</f>
        <v>0.83333333333333337</v>
      </c>
      <c r="I235" s="159">
        <f>AVERAGE(O236:O241)</f>
        <v>0</v>
      </c>
      <c r="J235" s="160"/>
      <c r="K235" s="160"/>
      <c r="L235" s="161"/>
      <c r="M235" s="122"/>
      <c r="N235" s="188"/>
      <c r="O235" s="188"/>
      <c r="P235" s="47"/>
      <c r="Q235" s="47"/>
      <c r="R235" s="98">
        <f>COUNTA(C236:C241)</f>
        <v>6</v>
      </c>
      <c r="S235" s="97"/>
      <c r="T235" s="98">
        <f>COUNTIFS(AC236:AC241,"&gt;1,50")</f>
        <v>0</v>
      </c>
      <c r="U235" s="98">
        <f>COUNTIFS(AC236:AC241,"&gt;=0,995",AC236:AC241,"&lt;=1,5")</f>
        <v>5</v>
      </c>
      <c r="V235" s="98">
        <f>COUNTIFS(AC236:AC241,"&gt;=0,85",AC236:AC241,"&lt;0,995")</f>
        <v>0</v>
      </c>
      <c r="W235" s="98">
        <f>COUNTIFS(AC236:AC241,"&lt;0,85")</f>
        <v>1</v>
      </c>
      <c r="X235" s="50"/>
      <c r="Z235" s="90">
        <f>COUNTIFS(AD236:AD241,"&gt;=1,01")</f>
        <v>0</v>
      </c>
      <c r="AA235" s="90">
        <f>COUNTIFS(AD236:AD241,"&gt;=0,99",AD236:AD241,"&lt;1,01")</f>
        <v>0</v>
      </c>
      <c r="AB235" s="91">
        <f>COUNTIFS(AD236:AD241,"&lt;0,99")</f>
        <v>1</v>
      </c>
      <c r="AC235" s="64"/>
      <c r="AD235" s="64"/>
      <c r="AK235" s="45">
        <f>SUM(T235:X235)-R235</f>
        <v>0</v>
      </c>
    </row>
    <row r="236" spans="1:37" ht="45" outlineLevel="2" x14ac:dyDescent="0.25">
      <c r="A236" s="236" t="s">
        <v>1387</v>
      </c>
      <c r="B236" s="218" t="s">
        <v>1386</v>
      </c>
      <c r="C236" s="390" t="s">
        <v>843</v>
      </c>
      <c r="D236" s="284" t="s">
        <v>331</v>
      </c>
      <c r="E236" s="127">
        <v>122</v>
      </c>
      <c r="F236" s="127">
        <v>115</v>
      </c>
      <c r="G236" s="127">
        <v>115</v>
      </c>
      <c r="H236" s="268">
        <f t="shared" ref="H236:H237" si="147">G236/F236</f>
        <v>1</v>
      </c>
      <c r="I236" s="131" t="s">
        <v>41</v>
      </c>
      <c r="J236" s="127" t="s">
        <v>41</v>
      </c>
      <c r="K236" s="127" t="s">
        <v>41</v>
      </c>
      <c r="L236" s="275" t="s">
        <v>451</v>
      </c>
      <c r="M236" s="40">
        <v>0</v>
      </c>
      <c r="N236" s="41">
        <f t="shared" ref="N236:N241" si="148">IF(H236&gt;1,1,H236)</f>
        <v>1</v>
      </c>
      <c r="O236" s="41" t="s">
        <v>41</v>
      </c>
      <c r="AC236" s="64">
        <f t="shared" si="135"/>
        <v>1</v>
      </c>
      <c r="AD236" s="64" t="str">
        <f t="shared" si="135"/>
        <v>-</v>
      </c>
    </row>
    <row r="237" spans="1:37" ht="33.75" outlineLevel="2" x14ac:dyDescent="0.25">
      <c r="A237" s="236" t="s">
        <v>1388</v>
      </c>
      <c r="B237" s="151" t="s">
        <v>1389</v>
      </c>
      <c r="C237" s="127" t="s">
        <v>843</v>
      </c>
      <c r="D237" s="284" t="s">
        <v>331</v>
      </c>
      <c r="E237" s="127">
        <v>8</v>
      </c>
      <c r="F237" s="127">
        <v>8</v>
      </c>
      <c r="G237" s="127">
        <v>8</v>
      </c>
      <c r="H237" s="268">
        <f t="shared" si="147"/>
        <v>1</v>
      </c>
      <c r="I237" s="131" t="s">
        <v>41</v>
      </c>
      <c r="J237" s="134" t="s">
        <v>41</v>
      </c>
      <c r="K237" s="152" t="s">
        <v>41</v>
      </c>
      <c r="L237" s="275" t="s">
        <v>451</v>
      </c>
      <c r="M237" s="40">
        <v>0</v>
      </c>
      <c r="N237" s="41">
        <f t="shared" si="148"/>
        <v>1</v>
      </c>
      <c r="O237" s="41" t="s">
        <v>41</v>
      </c>
      <c r="AC237" s="64">
        <f t="shared" si="135"/>
        <v>1</v>
      </c>
      <c r="AD237" s="64" t="str">
        <f t="shared" si="135"/>
        <v>-</v>
      </c>
    </row>
    <row r="238" spans="1:37" ht="112.5" outlineLevel="2" x14ac:dyDescent="0.25">
      <c r="A238" s="236" t="s">
        <v>849</v>
      </c>
      <c r="B238" s="288" t="s">
        <v>1390</v>
      </c>
      <c r="C238" s="153" t="s">
        <v>314</v>
      </c>
      <c r="D238" s="244" t="s">
        <v>312</v>
      </c>
      <c r="E238" s="390">
        <v>89</v>
      </c>
      <c r="F238" s="390">
        <v>99</v>
      </c>
      <c r="G238" s="390">
        <v>0</v>
      </c>
      <c r="H238" s="268">
        <f t="shared" ref="H238:H239" si="149">G238/F238</f>
        <v>0</v>
      </c>
      <c r="I238" s="131">
        <f t="shared" ref="I238:I240" si="150">G238/E238</f>
        <v>0</v>
      </c>
      <c r="J238" s="289" t="s">
        <v>1965</v>
      </c>
      <c r="K238" s="290" t="s">
        <v>1966</v>
      </c>
      <c r="L238" s="275" t="s">
        <v>79</v>
      </c>
      <c r="M238" s="40">
        <v>1</v>
      </c>
      <c r="N238" s="41">
        <f t="shared" ref="N238:N240" si="151">IF(H238&gt;1,1,H238)</f>
        <v>0</v>
      </c>
      <c r="O238" s="41">
        <f t="shared" ref="O238" si="152">IF(I238&gt;1.25,1.25,I238)</f>
        <v>0</v>
      </c>
      <c r="AC238" s="64">
        <f t="shared" si="135"/>
        <v>0</v>
      </c>
      <c r="AD238" s="64">
        <f>O238</f>
        <v>0</v>
      </c>
    </row>
    <row r="239" spans="1:37" ht="22.5" outlineLevel="2" x14ac:dyDescent="0.25">
      <c r="A239" s="236" t="s">
        <v>1967</v>
      </c>
      <c r="B239" s="151" t="s">
        <v>1968</v>
      </c>
      <c r="C239" s="453" t="s">
        <v>843</v>
      </c>
      <c r="D239" s="284" t="s">
        <v>331</v>
      </c>
      <c r="E239" s="453">
        <v>0</v>
      </c>
      <c r="F239" s="453">
        <v>1</v>
      </c>
      <c r="G239" s="453">
        <v>1</v>
      </c>
      <c r="H239" s="268">
        <f t="shared" si="149"/>
        <v>1</v>
      </c>
      <c r="I239" s="131" t="s">
        <v>41</v>
      </c>
      <c r="J239" s="134" t="s">
        <v>41</v>
      </c>
      <c r="K239" s="152" t="s">
        <v>41</v>
      </c>
      <c r="L239" s="275" t="s">
        <v>451</v>
      </c>
      <c r="M239" s="40">
        <v>0</v>
      </c>
      <c r="N239" s="41">
        <f t="shared" si="151"/>
        <v>1</v>
      </c>
      <c r="O239" s="41" t="s">
        <v>41</v>
      </c>
      <c r="AC239" s="64">
        <f t="shared" si="135"/>
        <v>1</v>
      </c>
      <c r="AD239" s="440" t="s">
        <v>41</v>
      </c>
    </row>
    <row r="240" spans="1:37" ht="33.75" outlineLevel="2" x14ac:dyDescent="0.25">
      <c r="A240" s="236" t="s">
        <v>1391</v>
      </c>
      <c r="B240" s="288" t="s">
        <v>1392</v>
      </c>
      <c r="C240" s="153" t="s">
        <v>441</v>
      </c>
      <c r="D240" s="284" t="s">
        <v>331</v>
      </c>
      <c r="E240" s="390">
        <v>1</v>
      </c>
      <c r="F240" s="390">
        <v>1</v>
      </c>
      <c r="G240" s="390">
        <v>1</v>
      </c>
      <c r="H240" s="268">
        <f t="shared" ref="H240" si="153">G240/F240</f>
        <v>1</v>
      </c>
      <c r="I240" s="131">
        <f t="shared" si="150"/>
        <v>1</v>
      </c>
      <c r="J240" s="289" t="s">
        <v>41</v>
      </c>
      <c r="K240" s="290" t="s">
        <v>41</v>
      </c>
      <c r="L240" s="275" t="s">
        <v>451</v>
      </c>
      <c r="M240" s="40">
        <v>0</v>
      </c>
      <c r="N240" s="41">
        <f t="shared" si="151"/>
        <v>1</v>
      </c>
      <c r="O240" s="41" t="s">
        <v>41</v>
      </c>
      <c r="AC240" s="64">
        <f t="shared" si="135"/>
        <v>1</v>
      </c>
      <c r="AD240" s="64" t="s">
        <v>41</v>
      </c>
    </row>
    <row r="241" spans="1:37" ht="22.5" outlineLevel="2" x14ac:dyDescent="0.25">
      <c r="A241" s="236" t="s">
        <v>1393</v>
      </c>
      <c r="B241" s="282" t="s">
        <v>1394</v>
      </c>
      <c r="C241" s="291" t="s">
        <v>334</v>
      </c>
      <c r="D241" s="284" t="s">
        <v>331</v>
      </c>
      <c r="E241" s="127">
        <v>56</v>
      </c>
      <c r="F241" s="127">
        <v>50</v>
      </c>
      <c r="G241" s="127">
        <v>50</v>
      </c>
      <c r="H241" s="268">
        <f>G241/F241</f>
        <v>1</v>
      </c>
      <c r="I241" s="271" t="s">
        <v>41</v>
      </c>
      <c r="J241" s="134" t="s">
        <v>41</v>
      </c>
      <c r="K241" s="292" t="s">
        <v>41</v>
      </c>
      <c r="L241" s="275" t="s">
        <v>451</v>
      </c>
      <c r="M241" s="40">
        <v>0</v>
      </c>
      <c r="N241" s="41">
        <f t="shared" si="148"/>
        <v>1</v>
      </c>
      <c r="O241" s="41" t="s">
        <v>41</v>
      </c>
      <c r="AC241" s="64">
        <f t="shared" si="135"/>
        <v>1</v>
      </c>
      <c r="AD241" s="64" t="str">
        <f t="shared" si="135"/>
        <v>-</v>
      </c>
    </row>
    <row r="242" spans="1:37" s="45" customFormat="1" ht="23.25" customHeight="1" outlineLevel="1" x14ac:dyDescent="0.25">
      <c r="A242" s="65" t="s">
        <v>267</v>
      </c>
      <c r="B242" s="619" t="s">
        <v>850</v>
      </c>
      <c r="C242" s="619"/>
      <c r="D242" s="619"/>
      <c r="E242" s="619"/>
      <c r="F242" s="619"/>
      <c r="G242" s="619"/>
      <c r="H242" s="66">
        <f>AVERAGE(N243:N244)</f>
        <v>1</v>
      </c>
      <c r="I242" s="66">
        <v>1</v>
      </c>
      <c r="J242" s="67"/>
      <c r="K242" s="67"/>
      <c r="L242" s="68"/>
      <c r="M242" s="61"/>
      <c r="N242" s="188"/>
      <c r="O242" s="188"/>
      <c r="P242" s="47"/>
      <c r="Q242" s="47"/>
      <c r="R242" s="98">
        <f>COUNTA(C243:C244)</f>
        <v>2</v>
      </c>
      <c r="S242" s="97">
        <v>0</v>
      </c>
      <c r="T242" s="98">
        <f>COUNTIFS(AC243:AC244,"&gt;1,50")</f>
        <v>0</v>
      </c>
      <c r="U242" s="98">
        <f>COUNTIFS(AC243:AC244,"&gt;=0,995",AC243:AC244,"&lt;=1,5")</f>
        <v>2</v>
      </c>
      <c r="V242" s="98">
        <f>COUNTIFS(AC243:AC244,"&gt;=0,85",AC243:AC244,"&lt;0,995")</f>
        <v>0</v>
      </c>
      <c r="W242" s="98">
        <f>COUNTIFS(AC243:AC244,"&lt;0,85")</f>
        <v>0</v>
      </c>
      <c r="X242" s="50"/>
      <c r="Z242" s="90">
        <f>COUNTIFS(AD243:AD244,"&gt;=1,01")</f>
        <v>0</v>
      </c>
      <c r="AA242" s="90">
        <f>COUNTIFS(AD243:AD244,"&gt;=0,99",AD243:AD244,"&lt;1,01")</f>
        <v>0</v>
      </c>
      <c r="AB242" s="91">
        <f>COUNTIFS(AD243:AD244,"&lt;0,99")</f>
        <v>0</v>
      </c>
      <c r="AC242" s="64"/>
      <c r="AD242" s="64"/>
      <c r="AK242" s="45">
        <f>SUM(T242:X242)-R242</f>
        <v>0</v>
      </c>
    </row>
    <row r="243" spans="1:37" ht="82.5" customHeight="1" outlineLevel="2" x14ac:dyDescent="0.25">
      <c r="A243" s="236" t="s">
        <v>851</v>
      </c>
      <c r="B243" s="223" t="s">
        <v>1395</v>
      </c>
      <c r="C243" s="185" t="s">
        <v>429</v>
      </c>
      <c r="D243" s="244" t="s">
        <v>312</v>
      </c>
      <c r="E243" s="221">
        <v>58.07</v>
      </c>
      <c r="F243" s="221">
        <v>69.78</v>
      </c>
      <c r="G243" s="186">
        <v>70.86</v>
      </c>
      <c r="H243" s="268">
        <f t="shared" ref="H243:H244" si="154">G243/F243</f>
        <v>1.0154772141014616</v>
      </c>
      <c r="I243" s="268">
        <f t="shared" ref="I243:I244" si="155">G243/E243</f>
        <v>1.2202514206991562</v>
      </c>
      <c r="J243" s="390" t="s">
        <v>41</v>
      </c>
      <c r="K243" s="221" t="s">
        <v>41</v>
      </c>
      <c r="L243" s="275" t="s">
        <v>79</v>
      </c>
      <c r="M243" s="40">
        <v>1</v>
      </c>
      <c r="N243" s="41">
        <f t="shared" ref="N243:N244" si="156">IF(H243&gt;1,1,H243)</f>
        <v>1</v>
      </c>
      <c r="O243" s="41" t="s">
        <v>41</v>
      </c>
      <c r="AC243" s="64">
        <f t="shared" si="135"/>
        <v>1.0154772141014616</v>
      </c>
      <c r="AD243" s="64" t="s">
        <v>41</v>
      </c>
    </row>
    <row r="244" spans="1:37" ht="33.75" outlineLevel="2" x14ac:dyDescent="0.25">
      <c r="A244" s="236" t="s">
        <v>852</v>
      </c>
      <c r="B244" s="147" t="s">
        <v>1396</v>
      </c>
      <c r="C244" s="127" t="s">
        <v>416</v>
      </c>
      <c r="D244" s="244" t="s">
        <v>312</v>
      </c>
      <c r="E244" s="221">
        <v>3.06</v>
      </c>
      <c r="F244" s="221">
        <v>3.82</v>
      </c>
      <c r="G244" s="399">
        <v>3.84</v>
      </c>
      <c r="H244" s="268">
        <f t="shared" si="154"/>
        <v>1.0052356020942408</v>
      </c>
      <c r="I244" s="268">
        <f t="shared" si="155"/>
        <v>1.2549019607843137</v>
      </c>
      <c r="J244" s="390" t="s">
        <v>41</v>
      </c>
      <c r="K244" s="221" t="s">
        <v>41</v>
      </c>
      <c r="L244" s="275" t="s">
        <v>79</v>
      </c>
      <c r="M244" s="40">
        <v>1</v>
      </c>
      <c r="N244" s="41">
        <f t="shared" si="156"/>
        <v>1</v>
      </c>
      <c r="O244" s="41" t="s">
        <v>41</v>
      </c>
      <c r="AC244" s="64">
        <f t="shared" si="135"/>
        <v>1.0052356020942408</v>
      </c>
      <c r="AD244" s="64" t="s">
        <v>41</v>
      </c>
    </row>
    <row r="245" spans="1:37" s="45" customFormat="1" ht="35.25" customHeight="1" outlineLevel="1" x14ac:dyDescent="0.25">
      <c r="A245" s="65" t="s">
        <v>142</v>
      </c>
      <c r="B245" s="619" t="s">
        <v>1397</v>
      </c>
      <c r="C245" s="619"/>
      <c r="D245" s="619"/>
      <c r="E245" s="619"/>
      <c r="F245" s="619"/>
      <c r="G245" s="619"/>
      <c r="H245" s="66">
        <f>AVERAGE(N246:N254)</f>
        <v>0.85648148148148151</v>
      </c>
      <c r="I245" s="66">
        <f>AVERAGE(O246:O254)</f>
        <v>1.0303468606220898</v>
      </c>
      <c r="J245" s="67"/>
      <c r="K245" s="67"/>
      <c r="L245" s="68"/>
      <c r="M245" s="61"/>
      <c r="N245" s="188"/>
      <c r="O245" s="188"/>
      <c r="P245" s="47"/>
      <c r="Q245" s="47"/>
      <c r="R245" s="98">
        <f>COUNTA(C246:C254)</f>
        <v>9</v>
      </c>
      <c r="S245" s="97">
        <v>1</v>
      </c>
      <c r="T245" s="98">
        <f>COUNTIFS(AC246:AC254,"&gt;1,50")</f>
        <v>0</v>
      </c>
      <c r="U245" s="98">
        <f>COUNTIFS(AC246:AC254,"&gt;=0,995",AC246:AC254,"&lt;=1,5")</f>
        <v>5</v>
      </c>
      <c r="V245" s="98">
        <f>COUNTIFS(AC246:AC254,"&gt;=0,85",AC246:AC254,"&lt;0,995")</f>
        <v>0</v>
      </c>
      <c r="W245" s="98">
        <f>COUNTIFS(AC246:AC254,"&lt;0,85")</f>
        <v>3</v>
      </c>
      <c r="X245" s="50">
        <v>0</v>
      </c>
      <c r="Z245" s="90">
        <f>COUNTIFS(AD246:AD254,"&gt;=1,01")</f>
        <v>1</v>
      </c>
      <c r="AA245" s="90">
        <f>COUNTIFS(AD246:AD254,"&gt;=0,99",AD246:AD254,"&lt;1,01")</f>
        <v>0</v>
      </c>
      <c r="AB245" s="91">
        <f>COUNTIFS(AD246:AD254,"&lt;0,99")</f>
        <v>0</v>
      </c>
      <c r="AC245" s="64"/>
      <c r="AD245" s="64"/>
      <c r="AK245" s="45">
        <f>SUM(T245:X245)-R245</f>
        <v>-1</v>
      </c>
    </row>
    <row r="246" spans="1:37" s="45" customFormat="1" ht="55.5" customHeight="1" outlineLevel="1" x14ac:dyDescent="0.25">
      <c r="A246" s="236" t="s">
        <v>1398</v>
      </c>
      <c r="B246" s="391" t="s">
        <v>1399</v>
      </c>
      <c r="C246" s="267" t="s">
        <v>334</v>
      </c>
      <c r="D246" s="153" t="s">
        <v>366</v>
      </c>
      <c r="E246" s="390">
        <v>1</v>
      </c>
      <c r="F246" s="390">
        <v>9</v>
      </c>
      <c r="G246" s="390">
        <v>5</v>
      </c>
      <c r="H246" s="257">
        <f t="shared" ref="H246" si="157">G246/F246</f>
        <v>0.55555555555555558</v>
      </c>
      <c r="I246" s="257" t="s">
        <v>41</v>
      </c>
      <c r="J246" s="390" t="s">
        <v>1969</v>
      </c>
      <c r="K246" s="277" t="s">
        <v>41</v>
      </c>
      <c r="L246" s="241" t="s">
        <v>859</v>
      </c>
      <c r="M246" s="40">
        <v>0</v>
      </c>
      <c r="N246" s="41">
        <f t="shared" ref="N246" si="158">IF(H246&gt;1,1,H246)</f>
        <v>0.55555555555555558</v>
      </c>
      <c r="O246" s="41" t="s">
        <v>41</v>
      </c>
      <c r="P246" s="47"/>
      <c r="Q246" s="47"/>
      <c r="R246" s="353"/>
      <c r="S246" s="97"/>
      <c r="T246" s="353" t="s">
        <v>1976</v>
      </c>
      <c r="U246" s="353"/>
      <c r="V246" s="353"/>
      <c r="W246" s="353"/>
      <c r="X246" s="50"/>
      <c r="Z246" s="354"/>
      <c r="AA246" s="354"/>
      <c r="AB246" s="354"/>
      <c r="AC246" s="64">
        <f t="shared" si="135"/>
        <v>0.55555555555555558</v>
      </c>
      <c r="AD246" s="64"/>
    </row>
    <row r="247" spans="1:37" ht="112.5" outlineLevel="2" x14ac:dyDescent="0.25">
      <c r="A247" s="236" t="s">
        <v>442</v>
      </c>
      <c r="B247" s="224" t="s">
        <v>445</v>
      </c>
      <c r="C247" s="267" t="s">
        <v>334</v>
      </c>
      <c r="D247" s="153" t="s">
        <v>366</v>
      </c>
      <c r="E247" s="127">
        <v>54</v>
      </c>
      <c r="F247" s="127">
        <v>54</v>
      </c>
      <c r="G247" s="127">
        <v>43</v>
      </c>
      <c r="H247" s="257">
        <f t="shared" ref="H247:H252" si="159">G247/F247</f>
        <v>0.79629629629629628</v>
      </c>
      <c r="I247" s="257" t="s">
        <v>41</v>
      </c>
      <c r="J247" s="127" t="s">
        <v>1970</v>
      </c>
      <c r="K247" s="277" t="s">
        <v>1971</v>
      </c>
      <c r="L247" s="241" t="s">
        <v>859</v>
      </c>
      <c r="M247" s="40">
        <v>0</v>
      </c>
      <c r="N247" s="41">
        <f t="shared" ref="N247:N257" si="160">IF(H247&gt;1,1,H247)</f>
        <v>0.79629629629629628</v>
      </c>
      <c r="O247" s="41" t="s">
        <v>41</v>
      </c>
      <c r="AC247" s="64">
        <f t="shared" si="135"/>
        <v>0.79629629629629628</v>
      </c>
      <c r="AD247" s="64" t="str">
        <f t="shared" si="135"/>
        <v>-</v>
      </c>
    </row>
    <row r="248" spans="1:37" ht="101.25" outlineLevel="2" x14ac:dyDescent="0.25">
      <c r="A248" s="236" t="s">
        <v>856</v>
      </c>
      <c r="B248" s="121" t="s">
        <v>1130</v>
      </c>
      <c r="C248" s="267" t="s">
        <v>314</v>
      </c>
      <c r="D248" s="153" t="s">
        <v>366</v>
      </c>
      <c r="E248" s="127">
        <v>100</v>
      </c>
      <c r="F248" s="127">
        <v>100</v>
      </c>
      <c r="G248" s="127">
        <v>100</v>
      </c>
      <c r="H248" s="257">
        <f t="shared" si="159"/>
        <v>1</v>
      </c>
      <c r="I248" s="257" t="s">
        <v>41</v>
      </c>
      <c r="J248" s="277" t="s">
        <v>41</v>
      </c>
      <c r="K248" s="277" t="s">
        <v>41</v>
      </c>
      <c r="L248" s="241" t="s">
        <v>859</v>
      </c>
      <c r="M248" s="40">
        <v>0</v>
      </c>
      <c r="N248" s="41">
        <f t="shared" si="160"/>
        <v>1</v>
      </c>
      <c r="O248" s="41" t="s">
        <v>41</v>
      </c>
      <c r="AC248" s="64">
        <f t="shared" si="135"/>
        <v>1</v>
      </c>
      <c r="AD248" s="64" t="str">
        <f t="shared" si="135"/>
        <v>-</v>
      </c>
    </row>
    <row r="249" spans="1:37" ht="70.5" customHeight="1" outlineLevel="2" x14ac:dyDescent="0.25">
      <c r="A249" s="236" t="s">
        <v>857</v>
      </c>
      <c r="B249" s="121" t="s">
        <v>1131</v>
      </c>
      <c r="C249" s="267" t="s">
        <v>314</v>
      </c>
      <c r="D249" s="153" t="s">
        <v>366</v>
      </c>
      <c r="E249" s="127">
        <v>100</v>
      </c>
      <c r="F249" s="127">
        <v>100</v>
      </c>
      <c r="G249" s="127">
        <v>100</v>
      </c>
      <c r="H249" s="257">
        <f t="shared" si="159"/>
        <v>1</v>
      </c>
      <c r="I249" s="257" t="s">
        <v>41</v>
      </c>
      <c r="J249" s="277" t="s">
        <v>41</v>
      </c>
      <c r="K249" s="277" t="s">
        <v>41</v>
      </c>
      <c r="L249" s="241" t="s">
        <v>859</v>
      </c>
      <c r="M249" s="40">
        <v>0</v>
      </c>
      <c r="N249" s="41">
        <f t="shared" si="160"/>
        <v>1</v>
      </c>
      <c r="O249" s="41" t="s">
        <v>41</v>
      </c>
      <c r="AC249" s="64">
        <f t="shared" si="135"/>
        <v>1</v>
      </c>
      <c r="AD249" s="64" t="str">
        <f t="shared" si="135"/>
        <v>-</v>
      </c>
    </row>
    <row r="250" spans="1:37" ht="54.75" customHeight="1" outlineLevel="2" x14ac:dyDescent="0.25">
      <c r="A250" s="236" t="s">
        <v>858</v>
      </c>
      <c r="B250" s="121" t="s">
        <v>853</v>
      </c>
      <c r="C250" s="185" t="s">
        <v>854</v>
      </c>
      <c r="D250" s="127" t="s">
        <v>366</v>
      </c>
      <c r="E250" s="127">
        <v>1.2</v>
      </c>
      <c r="F250" s="127">
        <v>1.2</v>
      </c>
      <c r="G250" s="127">
        <v>1.2</v>
      </c>
      <c r="H250" s="131">
        <f t="shared" si="159"/>
        <v>1</v>
      </c>
      <c r="I250" s="257" t="s">
        <v>41</v>
      </c>
      <c r="J250" s="277" t="s">
        <v>41</v>
      </c>
      <c r="K250" s="277" t="s">
        <v>41</v>
      </c>
      <c r="L250" s="241" t="s">
        <v>859</v>
      </c>
      <c r="M250" s="40">
        <v>0</v>
      </c>
      <c r="N250" s="41">
        <f t="shared" si="160"/>
        <v>1</v>
      </c>
      <c r="O250" s="41" t="s">
        <v>41</v>
      </c>
      <c r="AC250" s="64">
        <f t="shared" si="135"/>
        <v>1</v>
      </c>
      <c r="AD250" s="64" t="str">
        <f t="shared" si="135"/>
        <v>-</v>
      </c>
    </row>
    <row r="251" spans="1:37" ht="28.5" customHeight="1" outlineLevel="2" x14ac:dyDescent="0.25">
      <c r="A251" s="236" t="s">
        <v>931</v>
      </c>
      <c r="B251" s="121" t="s">
        <v>932</v>
      </c>
      <c r="C251" s="185" t="s">
        <v>933</v>
      </c>
      <c r="D251" s="127" t="s">
        <v>366</v>
      </c>
      <c r="E251" s="127">
        <v>0</v>
      </c>
      <c r="F251" s="127">
        <v>0</v>
      </c>
      <c r="G251" s="127">
        <v>0</v>
      </c>
      <c r="H251" s="131" t="s">
        <v>41</v>
      </c>
      <c r="I251" s="257" t="s">
        <v>41</v>
      </c>
      <c r="J251" s="277" t="s">
        <v>41</v>
      </c>
      <c r="K251" s="277" t="s">
        <v>41</v>
      </c>
      <c r="L251" s="241" t="s">
        <v>859</v>
      </c>
      <c r="M251" s="40">
        <v>0</v>
      </c>
      <c r="N251" s="41" t="s">
        <v>41</v>
      </c>
      <c r="O251" s="41" t="s">
        <v>41</v>
      </c>
      <c r="AC251" s="64" t="s">
        <v>41</v>
      </c>
      <c r="AD251" s="64" t="str">
        <f t="shared" si="135"/>
        <v>-</v>
      </c>
    </row>
    <row r="252" spans="1:37" ht="56.25" outlineLevel="2" x14ac:dyDescent="0.25">
      <c r="A252" s="236" t="s">
        <v>443</v>
      </c>
      <c r="B252" s="224" t="s">
        <v>446</v>
      </c>
      <c r="C252" s="267" t="s">
        <v>314</v>
      </c>
      <c r="D252" s="244" t="s">
        <v>312</v>
      </c>
      <c r="E252" s="250">
        <v>26.16</v>
      </c>
      <c r="F252" s="127">
        <v>25.3</v>
      </c>
      <c r="G252" s="250">
        <v>27.08</v>
      </c>
      <c r="H252" s="257">
        <f t="shared" si="159"/>
        <v>1.0703557312252963</v>
      </c>
      <c r="I252" s="257">
        <f>G252/E252</f>
        <v>1.0351681957186543</v>
      </c>
      <c r="J252" s="277" t="s">
        <v>1972</v>
      </c>
      <c r="K252" s="277" t="s">
        <v>41</v>
      </c>
      <c r="L252" s="241" t="s">
        <v>859</v>
      </c>
      <c r="M252" s="40">
        <v>1</v>
      </c>
      <c r="N252" s="41">
        <f t="shared" si="160"/>
        <v>1</v>
      </c>
      <c r="O252" s="41">
        <f t="shared" ref="O252:O257" si="161">IF(I252&gt;1.25,1.25,I252)</f>
        <v>1.0351681957186543</v>
      </c>
      <c r="AC252" s="64">
        <f t="shared" si="135"/>
        <v>1.0703557312252963</v>
      </c>
      <c r="AD252" s="64">
        <f t="shared" si="135"/>
        <v>1.0351681957186543</v>
      </c>
    </row>
    <row r="253" spans="1:37" ht="22.5" outlineLevel="2" x14ac:dyDescent="0.25">
      <c r="A253" s="236" t="s">
        <v>444</v>
      </c>
      <c r="B253" s="389" t="s">
        <v>448</v>
      </c>
      <c r="C253" s="185" t="s">
        <v>855</v>
      </c>
      <c r="D253" s="226" t="s">
        <v>298</v>
      </c>
      <c r="E253" s="453">
        <v>204.9</v>
      </c>
      <c r="F253" s="390">
        <v>199.8</v>
      </c>
      <c r="G253" s="453">
        <v>199.8</v>
      </c>
      <c r="H253" s="271">
        <f>F253/G253</f>
        <v>1</v>
      </c>
      <c r="I253" s="271">
        <f>E253/G253</f>
        <v>1.0255255255255256</v>
      </c>
      <c r="J253" s="387"/>
      <c r="K253" s="387" t="s">
        <v>41</v>
      </c>
      <c r="L253" s="386" t="s">
        <v>859</v>
      </c>
      <c r="M253" s="40">
        <v>1</v>
      </c>
      <c r="N253" s="41">
        <f t="shared" si="160"/>
        <v>1</v>
      </c>
      <c r="O253" s="41">
        <f t="shared" si="161"/>
        <v>1.0255255255255256</v>
      </c>
      <c r="AC253" s="64">
        <f t="shared" si="135"/>
        <v>1</v>
      </c>
      <c r="AD253" s="64"/>
    </row>
    <row r="254" spans="1:37" ht="39.75" customHeight="1" outlineLevel="2" x14ac:dyDescent="0.25">
      <c r="A254" s="236" t="s">
        <v>1400</v>
      </c>
      <c r="B254" s="224" t="s">
        <v>1401</v>
      </c>
      <c r="C254" s="185" t="s">
        <v>334</v>
      </c>
      <c r="D254" s="390" t="s">
        <v>366</v>
      </c>
      <c r="E254" s="127">
        <v>0</v>
      </c>
      <c r="F254" s="127">
        <v>2</v>
      </c>
      <c r="G254" s="127">
        <v>1</v>
      </c>
      <c r="H254" s="257">
        <f t="shared" ref="H254" si="162">G254/F254</f>
        <v>0.5</v>
      </c>
      <c r="I254" s="257" t="s">
        <v>41</v>
      </c>
      <c r="J254" s="277" t="s">
        <v>1973</v>
      </c>
      <c r="K254" s="277" t="s">
        <v>1966</v>
      </c>
      <c r="L254" s="241" t="s">
        <v>79</v>
      </c>
      <c r="M254" s="40">
        <v>0</v>
      </c>
      <c r="N254" s="41">
        <f t="shared" si="160"/>
        <v>0.5</v>
      </c>
      <c r="O254" s="41" t="s">
        <v>41</v>
      </c>
      <c r="AC254" s="64">
        <f t="shared" si="135"/>
        <v>0.5</v>
      </c>
      <c r="AD254" s="64"/>
    </row>
    <row r="255" spans="1:37" s="45" customFormat="1" ht="27.75" customHeight="1" outlineLevel="1" x14ac:dyDescent="0.25">
      <c r="A255" s="65" t="s">
        <v>143</v>
      </c>
      <c r="B255" s="619" t="s">
        <v>1402</v>
      </c>
      <c r="C255" s="619"/>
      <c r="D255" s="619"/>
      <c r="E255" s="619"/>
      <c r="F255" s="619"/>
      <c r="G255" s="619"/>
      <c r="H255" s="66">
        <f>AVERAGE(N256:N257)</f>
        <v>1</v>
      </c>
      <c r="I255" s="66">
        <f>AVERAGE(O256:O257)</f>
        <v>1.1196668021129623</v>
      </c>
      <c r="J255" s="67"/>
      <c r="K255" s="67"/>
      <c r="L255" s="68"/>
      <c r="M255" s="61"/>
      <c r="N255" s="41"/>
      <c r="O255" s="41"/>
      <c r="P255" s="47"/>
      <c r="Q255" s="47"/>
      <c r="R255" s="98">
        <f>COUNTA(C256:C257)</f>
        <v>2</v>
      </c>
      <c r="S255" s="97">
        <v>0</v>
      </c>
      <c r="T255" s="98">
        <f>COUNTIFS(AC256:AC257,"&gt;1,50")</f>
        <v>0</v>
      </c>
      <c r="U255" s="98">
        <f>COUNTIFS(AC256:AC257,"&gt;=0,995",AC256:AC257,"&lt;=1,5")</f>
        <v>2</v>
      </c>
      <c r="V255" s="98">
        <f>COUNTIFS(AC256:AC257,"&gt;=0,85",AC256:AC257,"&lt;0,995")</f>
        <v>0</v>
      </c>
      <c r="W255" s="98">
        <f>COUNTIFS(AC256:AC257,"&lt;0,85")</f>
        <v>0</v>
      </c>
      <c r="X255" s="50">
        <v>0</v>
      </c>
      <c r="Z255" s="90">
        <f>COUNTIFS(AD256:AD257,"&gt;=1,01")</f>
        <v>2</v>
      </c>
      <c r="AA255" s="90">
        <f>COUNTIFS(AD256:AD257,"&gt;=0,99",AD256:AD257,"&lt;1,01")</f>
        <v>0</v>
      </c>
      <c r="AB255" s="91">
        <f>COUNTIFS(AD256:AD257,"&lt;0,99")</f>
        <v>0</v>
      </c>
      <c r="AC255" s="64"/>
      <c r="AD255" s="64"/>
      <c r="AK255" s="45">
        <f>SUM(T255:X255)-R255</f>
        <v>0</v>
      </c>
    </row>
    <row r="256" spans="1:37" ht="72" customHeight="1" outlineLevel="2" x14ac:dyDescent="0.25">
      <c r="A256" s="236" t="s">
        <v>866</v>
      </c>
      <c r="B256" s="224" t="s">
        <v>860</v>
      </c>
      <c r="C256" s="267" t="s">
        <v>314</v>
      </c>
      <c r="D256" s="251" t="s">
        <v>298</v>
      </c>
      <c r="E256" s="221">
        <v>27</v>
      </c>
      <c r="F256" s="221">
        <v>25</v>
      </c>
      <c r="G256" s="186">
        <v>23</v>
      </c>
      <c r="H256" s="257">
        <f>F256/G256</f>
        <v>1.0869565217391304</v>
      </c>
      <c r="I256" s="257">
        <f>E256/G256</f>
        <v>1.173913043478261</v>
      </c>
      <c r="J256" s="277" t="s">
        <v>1974</v>
      </c>
      <c r="K256" s="277" t="s">
        <v>41</v>
      </c>
      <c r="L256" s="241" t="s">
        <v>1109</v>
      </c>
      <c r="M256" s="40">
        <v>-1</v>
      </c>
      <c r="N256" s="41">
        <f t="shared" si="160"/>
        <v>1</v>
      </c>
      <c r="O256" s="41">
        <f t="shared" si="161"/>
        <v>1.173913043478261</v>
      </c>
      <c r="AC256" s="64">
        <f t="shared" si="135"/>
        <v>1.0869565217391304</v>
      </c>
      <c r="AD256" s="64">
        <f t="shared" si="135"/>
        <v>1.173913043478261</v>
      </c>
    </row>
    <row r="257" spans="1:37" ht="112.5" outlineLevel="2" x14ac:dyDescent="0.25">
      <c r="A257" s="236" t="s">
        <v>867</v>
      </c>
      <c r="B257" s="294" t="s">
        <v>861</v>
      </c>
      <c r="C257" s="153" t="s">
        <v>334</v>
      </c>
      <c r="D257" s="251" t="s">
        <v>298</v>
      </c>
      <c r="E257" s="221">
        <v>342</v>
      </c>
      <c r="F257" s="221">
        <v>330</v>
      </c>
      <c r="G257" s="293">
        <v>321</v>
      </c>
      <c r="H257" s="257">
        <f>F257/G257</f>
        <v>1.02803738317757</v>
      </c>
      <c r="I257" s="257">
        <f>E257/G257</f>
        <v>1.0654205607476634</v>
      </c>
      <c r="J257" s="277" t="s">
        <v>1975</v>
      </c>
      <c r="K257" s="277" t="s">
        <v>41</v>
      </c>
      <c r="L257" s="241" t="s">
        <v>1109</v>
      </c>
      <c r="M257" s="40">
        <v>-1</v>
      </c>
      <c r="N257" s="41">
        <f t="shared" si="160"/>
        <v>1</v>
      </c>
      <c r="O257" s="41">
        <f t="shared" si="161"/>
        <v>1.0654205607476634</v>
      </c>
      <c r="AC257" s="64">
        <f t="shared" si="135"/>
        <v>1.02803738317757</v>
      </c>
      <c r="AD257" s="64">
        <f t="shared" si="135"/>
        <v>1.0654205607476634</v>
      </c>
    </row>
    <row r="258" spans="1:37" s="45" customFormat="1" ht="17.25" customHeight="1" x14ac:dyDescent="0.25">
      <c r="A258" s="401" t="s">
        <v>144</v>
      </c>
      <c r="B258" s="638" t="s">
        <v>770</v>
      </c>
      <c r="C258" s="639"/>
      <c r="D258" s="639"/>
      <c r="E258" s="639"/>
      <c r="F258" s="639"/>
      <c r="G258" s="640"/>
      <c r="H258" s="402">
        <f>AVERAGE(N259:N261,N263:N264,N265:N266,N268:N272,N274:N276)</f>
        <v>0.91619202688791102</v>
      </c>
      <c r="I258" s="402">
        <f>AVERAGE(O259:O261,O263:O264,O265:O266,O268:O272,O274:O276)</f>
        <v>0.9488819467607198</v>
      </c>
      <c r="J258" s="403"/>
      <c r="K258" s="403"/>
      <c r="L258" s="404"/>
      <c r="M258" s="61"/>
      <c r="N258" s="41"/>
      <c r="O258" s="188"/>
      <c r="P258" s="47"/>
      <c r="Q258" s="47"/>
      <c r="R258" s="104">
        <f>COUNTA(C259:C276)</f>
        <v>15</v>
      </c>
      <c r="S258" s="96">
        <f>R258-T258-U258-V258-W258</f>
        <v>0</v>
      </c>
      <c r="T258" s="104">
        <f>COUNTIFS(AC259:AC276,"&gt;1,50")</f>
        <v>2</v>
      </c>
      <c r="U258" s="104">
        <f>COUNTIFS(AC259:AC276,"&gt;=0,995",AC259:AC276,"&lt;=1,5")</f>
        <v>7</v>
      </c>
      <c r="V258" s="104">
        <f>COUNTIFS(AC259:AC276,"&gt;=0,85",AC259:AC276,"&lt;0,995")</f>
        <v>4</v>
      </c>
      <c r="W258" s="104">
        <f>COUNTIFS(AC259:AC276,"&lt;0,85")</f>
        <v>2</v>
      </c>
      <c r="X258" s="47"/>
      <c r="Z258" s="94">
        <f>COUNTIFS(AD259:AD276,"&gt;=1,01")</f>
        <v>6</v>
      </c>
      <c r="AA258" s="94">
        <f>COUNTIFS(AD259:AD276,"&gt;=0,99",AD259:AD276,"&lt;1,01")</f>
        <v>2</v>
      </c>
      <c r="AB258" s="95">
        <f>COUNTIFS(AD259:AD276,"&lt;0,99")</f>
        <v>5</v>
      </c>
      <c r="AC258" s="64"/>
      <c r="AD258" s="64"/>
      <c r="AK258" s="45">
        <f>SUM(T258:X258)-R258</f>
        <v>0</v>
      </c>
    </row>
    <row r="259" spans="1:37" ht="94.5" customHeight="1" outlineLevel="2" x14ac:dyDescent="0.25">
      <c r="A259" s="236" t="s">
        <v>450</v>
      </c>
      <c r="B259" s="154" t="s">
        <v>771</v>
      </c>
      <c r="C259" s="153" t="s">
        <v>774</v>
      </c>
      <c r="D259" s="251" t="s">
        <v>298</v>
      </c>
      <c r="E259" s="153">
        <v>1894.2</v>
      </c>
      <c r="F259" s="153">
        <v>1615</v>
      </c>
      <c r="G259" s="153">
        <v>1847.3899268601253</v>
      </c>
      <c r="H259" s="257">
        <f>F259/G259</f>
        <v>0.87420634730043068</v>
      </c>
      <c r="I259" s="257">
        <f>E259/G259</f>
        <v>1.0253384910566414</v>
      </c>
      <c r="J259" s="400" t="s">
        <v>1642</v>
      </c>
      <c r="K259" s="400" t="s">
        <v>1132</v>
      </c>
      <c r="L259" s="283" t="s">
        <v>1133</v>
      </c>
      <c r="M259" s="40">
        <v>-1</v>
      </c>
      <c r="N259" s="41">
        <f t="shared" ref="N259:N272" si="163">IF(H259&gt;1,1,H259)</f>
        <v>0.87420634730043068</v>
      </c>
      <c r="O259" s="41">
        <f t="shared" ref="O259:O275" si="164">IF(I259&gt;1.25,1.25,I259)</f>
        <v>1.0253384910566414</v>
      </c>
      <c r="AC259" s="64">
        <f t="shared" si="135"/>
        <v>0.87420634730043068</v>
      </c>
      <c r="AD259" s="64">
        <f t="shared" si="135"/>
        <v>1.0253384910566414</v>
      </c>
    </row>
    <row r="260" spans="1:37" ht="33.75" outlineLevel="2" x14ac:dyDescent="0.25">
      <c r="A260" s="236" t="s">
        <v>452</v>
      </c>
      <c r="B260" s="154" t="s">
        <v>772</v>
      </c>
      <c r="C260" s="153" t="s">
        <v>334</v>
      </c>
      <c r="D260" s="251" t="s">
        <v>298</v>
      </c>
      <c r="E260" s="153">
        <v>2319</v>
      </c>
      <c r="F260" s="254">
        <v>3410</v>
      </c>
      <c r="G260" s="153">
        <v>2152</v>
      </c>
      <c r="H260" s="257">
        <f>F260/G260</f>
        <v>1.5845724907063197</v>
      </c>
      <c r="I260" s="257">
        <f>E260/G260</f>
        <v>1.0776022304832713</v>
      </c>
      <c r="J260" s="400" t="s">
        <v>775</v>
      </c>
      <c r="K260" s="400"/>
      <c r="L260" s="283" t="s">
        <v>1059</v>
      </c>
      <c r="M260" s="40">
        <v>-1</v>
      </c>
      <c r="N260" s="41">
        <f t="shared" si="163"/>
        <v>1</v>
      </c>
      <c r="O260" s="41">
        <f t="shared" si="164"/>
        <v>1.0776022304832713</v>
      </c>
      <c r="AC260" s="64">
        <f t="shared" si="135"/>
        <v>1.5845724907063197</v>
      </c>
      <c r="AD260" s="64">
        <f t="shared" si="135"/>
        <v>1.0776022304832713</v>
      </c>
    </row>
    <row r="261" spans="1:37" ht="56.25" outlineLevel="2" x14ac:dyDescent="0.25">
      <c r="A261" s="236" t="s">
        <v>633</v>
      </c>
      <c r="B261" s="154" t="s">
        <v>773</v>
      </c>
      <c r="C261" s="153" t="s">
        <v>320</v>
      </c>
      <c r="D261" s="251" t="s">
        <v>298</v>
      </c>
      <c r="E261" s="153">
        <v>67</v>
      </c>
      <c r="F261" s="153">
        <v>98</v>
      </c>
      <c r="G261" s="153">
        <v>109</v>
      </c>
      <c r="H261" s="257">
        <f>F261/G261</f>
        <v>0.8990825688073395</v>
      </c>
      <c r="I261" s="257">
        <f>E261/G261</f>
        <v>0.61467889908256879</v>
      </c>
      <c r="J261" s="400" t="s">
        <v>1643</v>
      </c>
      <c r="K261" s="400"/>
      <c r="L261" s="283" t="s">
        <v>1133</v>
      </c>
      <c r="M261" s="40">
        <v>-1</v>
      </c>
      <c r="N261" s="41">
        <f t="shared" si="163"/>
        <v>0.8990825688073395</v>
      </c>
      <c r="O261" s="41">
        <f t="shared" si="164"/>
        <v>0.61467889908256879</v>
      </c>
      <c r="AC261" s="64">
        <f t="shared" si="135"/>
        <v>0.8990825688073395</v>
      </c>
      <c r="AD261" s="64">
        <f t="shared" si="135"/>
        <v>0.61467889908256879</v>
      </c>
    </row>
    <row r="262" spans="1:37" s="45" customFormat="1" outlineLevel="1" x14ac:dyDescent="0.25">
      <c r="A262" s="65" t="s">
        <v>145</v>
      </c>
      <c r="B262" s="619" t="s">
        <v>462</v>
      </c>
      <c r="C262" s="619"/>
      <c r="D262" s="619"/>
      <c r="E262" s="619"/>
      <c r="F262" s="619"/>
      <c r="G262" s="619"/>
      <c r="H262" s="66">
        <f>AVERAGE(N263:N266)</f>
        <v>0.92636988599220516</v>
      </c>
      <c r="I262" s="66">
        <f>AVERAGE(O263:O266)</f>
        <v>1.0605641003791912</v>
      </c>
      <c r="J262" s="67"/>
      <c r="K262" s="67"/>
      <c r="L262" s="68"/>
      <c r="M262" s="61"/>
      <c r="N262" s="41"/>
      <c r="O262" s="41"/>
      <c r="P262" s="47"/>
      <c r="Q262" s="47"/>
      <c r="R262" s="98">
        <f>COUNTA(C263:C266)</f>
        <v>4</v>
      </c>
      <c r="S262" s="97">
        <v>0</v>
      </c>
      <c r="T262" s="98">
        <f>COUNTIFS(AC263:AC266,"&gt;1,50")</f>
        <v>0</v>
      </c>
      <c r="U262" s="98">
        <f>COUNTIFS(AC263:AC266,"&gt;=0,995",AC263:AC266,"&lt;=1,5")</f>
        <v>3</v>
      </c>
      <c r="V262" s="98">
        <f>COUNTIFS(AC263:AC266,"&gt;=0,85",AC263:AC266,"&lt;0,995")</f>
        <v>0</v>
      </c>
      <c r="W262" s="98">
        <f>COUNTIFS(AC263:AC266,"&lt;0,85")</f>
        <v>1</v>
      </c>
      <c r="X262" s="50"/>
      <c r="Z262" s="90">
        <f>COUNTIFS(AD263:AD266,"&gt;=1,01")</f>
        <v>2</v>
      </c>
      <c r="AA262" s="90">
        <f>COUNTIFS(AD263:AD266,"&gt;=0,99",AD263:AD266,"&lt;1,01")</f>
        <v>0</v>
      </c>
      <c r="AB262" s="91">
        <f>COUNTIFS(AD263:AD266,"&lt;0,99")</f>
        <v>1</v>
      </c>
      <c r="AC262" s="64"/>
      <c r="AD262" s="64"/>
      <c r="AK262" s="45">
        <f>SUM(T262:X262)-R262</f>
        <v>0</v>
      </c>
    </row>
    <row r="263" spans="1:37" ht="67.5" outlineLevel="2" x14ac:dyDescent="0.25">
      <c r="A263" s="236" t="s">
        <v>454</v>
      </c>
      <c r="B263" s="295" t="s">
        <v>776</v>
      </c>
      <c r="C263" s="153" t="s">
        <v>314</v>
      </c>
      <c r="D263" s="251" t="s">
        <v>298</v>
      </c>
      <c r="E263" s="153">
        <v>38.03</v>
      </c>
      <c r="F263" s="153">
        <v>30.39</v>
      </c>
      <c r="G263" s="153">
        <v>27.136469029479958</v>
      </c>
      <c r="H263" s="257">
        <f>F263/G263</f>
        <v>1.1198951480012207</v>
      </c>
      <c r="I263" s="257">
        <f>E263/G263</f>
        <v>1.4014350930729327</v>
      </c>
      <c r="J263" s="400" t="s">
        <v>1645</v>
      </c>
      <c r="K263" s="400" t="s">
        <v>1242</v>
      </c>
      <c r="L263" s="283" t="s">
        <v>1133</v>
      </c>
      <c r="M263" s="40">
        <v>-1</v>
      </c>
      <c r="N263" s="41">
        <f t="shared" si="163"/>
        <v>1</v>
      </c>
      <c r="O263" s="41">
        <f t="shared" si="164"/>
        <v>1.25</v>
      </c>
      <c r="AC263" s="64">
        <f t="shared" si="135"/>
        <v>1.1198951480012207</v>
      </c>
      <c r="AD263" s="64">
        <f t="shared" si="135"/>
        <v>1.4014350930729327</v>
      </c>
    </row>
    <row r="264" spans="1:37" ht="94.5" customHeight="1" outlineLevel="2" x14ac:dyDescent="0.25">
      <c r="A264" s="236" t="s">
        <v>455</v>
      </c>
      <c r="B264" s="154" t="s">
        <v>1644</v>
      </c>
      <c r="C264" s="153" t="s">
        <v>314</v>
      </c>
      <c r="D264" s="244" t="s">
        <v>312</v>
      </c>
      <c r="E264" s="153" t="s">
        <v>41</v>
      </c>
      <c r="F264" s="153">
        <v>65.099999999999994</v>
      </c>
      <c r="G264" s="153">
        <v>72</v>
      </c>
      <c r="H264" s="257">
        <f>G264/F264</f>
        <v>1.1059907834101383</v>
      </c>
      <c r="I264" s="257" t="s">
        <v>41</v>
      </c>
      <c r="J264" s="400" t="s">
        <v>1646</v>
      </c>
      <c r="K264" s="400"/>
      <c r="L264" s="283" t="s">
        <v>1133</v>
      </c>
      <c r="M264" s="40">
        <v>1</v>
      </c>
      <c r="N264" s="41">
        <f t="shared" si="163"/>
        <v>1</v>
      </c>
      <c r="O264" s="41" t="s">
        <v>41</v>
      </c>
      <c r="AC264" s="64">
        <f t="shared" si="135"/>
        <v>1.1059907834101383</v>
      </c>
      <c r="AD264" s="64" t="str">
        <f t="shared" si="135"/>
        <v>-</v>
      </c>
    </row>
    <row r="265" spans="1:37" ht="56.25" outlineLevel="2" x14ac:dyDescent="0.25">
      <c r="A265" s="236" t="s">
        <v>456</v>
      </c>
      <c r="B265" s="295" t="s">
        <v>468</v>
      </c>
      <c r="C265" s="153" t="s">
        <v>314</v>
      </c>
      <c r="D265" s="251" t="s">
        <v>298</v>
      </c>
      <c r="E265" s="153">
        <v>90.4</v>
      </c>
      <c r="F265" s="153">
        <v>98.55</v>
      </c>
      <c r="G265" s="153">
        <v>70.833333333333343</v>
      </c>
      <c r="H265" s="257">
        <f>F265/G265</f>
        <v>1.3912941176470586</v>
      </c>
      <c r="I265" s="257">
        <f>E265/G265</f>
        <v>1.2762352941176469</v>
      </c>
      <c r="J265" s="400" t="s">
        <v>1134</v>
      </c>
      <c r="K265" s="400" t="s">
        <v>1135</v>
      </c>
      <c r="L265" s="283" t="s">
        <v>1133</v>
      </c>
      <c r="M265" s="40">
        <v>-1</v>
      </c>
      <c r="N265" s="41">
        <f t="shared" si="163"/>
        <v>1</v>
      </c>
      <c r="O265" s="41">
        <f t="shared" si="164"/>
        <v>1.25</v>
      </c>
      <c r="AC265" s="64">
        <f t="shared" si="135"/>
        <v>1.3912941176470586</v>
      </c>
      <c r="AD265" s="64">
        <f t="shared" si="135"/>
        <v>1.2762352941176469</v>
      </c>
    </row>
    <row r="266" spans="1:37" ht="56.25" outlineLevel="2" x14ac:dyDescent="0.25">
      <c r="A266" s="236" t="s">
        <v>457</v>
      </c>
      <c r="B266" s="154" t="s">
        <v>466</v>
      </c>
      <c r="C266" s="153" t="s">
        <v>314</v>
      </c>
      <c r="D266" s="244" t="s">
        <v>312</v>
      </c>
      <c r="E266" s="153">
        <v>112.7</v>
      </c>
      <c r="F266" s="153">
        <v>108.9</v>
      </c>
      <c r="G266" s="153">
        <v>76.82672233820459</v>
      </c>
      <c r="H266" s="257">
        <f>G266/F266</f>
        <v>0.70547954396882084</v>
      </c>
      <c r="I266" s="257">
        <f>G266/E266</f>
        <v>0.68169230113757395</v>
      </c>
      <c r="J266" s="400" t="s">
        <v>1647</v>
      </c>
      <c r="K266" s="400" t="s">
        <v>1648</v>
      </c>
      <c r="L266" s="296" t="s">
        <v>182</v>
      </c>
      <c r="M266" s="40">
        <v>1</v>
      </c>
      <c r="N266" s="41">
        <f t="shared" si="163"/>
        <v>0.70547954396882084</v>
      </c>
      <c r="O266" s="41">
        <f t="shared" si="164"/>
        <v>0.68169230113757395</v>
      </c>
      <c r="AC266" s="64">
        <f t="shared" ref="AC266:AD330" si="165">H266</f>
        <v>0.70547954396882084</v>
      </c>
      <c r="AD266" s="64">
        <f t="shared" si="165"/>
        <v>0.68169230113757395</v>
      </c>
    </row>
    <row r="267" spans="1:37" s="45" customFormat="1" outlineLevel="1" x14ac:dyDescent="0.25">
      <c r="A267" s="65" t="s">
        <v>1403</v>
      </c>
      <c r="B267" s="619" t="s">
        <v>470</v>
      </c>
      <c r="C267" s="619"/>
      <c r="D267" s="619"/>
      <c r="E267" s="619"/>
      <c r="F267" s="619"/>
      <c r="G267" s="619"/>
      <c r="H267" s="66">
        <f>AVERAGE(N268:N272)</f>
        <v>0.86461726044328646</v>
      </c>
      <c r="I267" s="66">
        <f>AVERAGE(O268:O272)</f>
        <v>0.87549230222217922</v>
      </c>
      <c r="J267" s="67"/>
      <c r="K267" s="67"/>
      <c r="L267" s="68"/>
      <c r="M267" s="61"/>
      <c r="N267" s="41"/>
      <c r="O267" s="41"/>
      <c r="P267" s="47"/>
      <c r="Q267" s="47"/>
      <c r="R267" s="98">
        <f>COUNTA(C268:C272)</f>
        <v>5</v>
      </c>
      <c r="S267" s="97">
        <v>2</v>
      </c>
      <c r="T267" s="98">
        <f>COUNTIFS(AC268:AC272,"&gt;1,50")</f>
        <v>0</v>
      </c>
      <c r="U267" s="98">
        <f>COUNTIFS(AC268:AC272,"&gt;=0,995",AC268:AC272,"&lt;=1,5")</f>
        <v>3</v>
      </c>
      <c r="V267" s="98">
        <f>COUNTIFS(AC268:AC272,"&gt;=0,85",AC268:AC272,"&lt;0,995")</f>
        <v>1</v>
      </c>
      <c r="W267" s="98">
        <f>COUNTIFS(AC268:AC272,"&lt;0,85")</f>
        <v>1</v>
      </c>
      <c r="X267" s="50"/>
      <c r="Z267" s="90">
        <f>COUNTIFS(AD268:AD272,"&gt;=1,01")</f>
        <v>1</v>
      </c>
      <c r="AA267" s="90">
        <f>COUNTIFS(AD268:AD272,"&gt;=0,99",AD268:AD272,"&lt;1,01")</f>
        <v>2</v>
      </c>
      <c r="AB267" s="91">
        <f>COUNTIFS(AD268:AD272,"&lt;0,99")</f>
        <v>2</v>
      </c>
      <c r="AC267" s="64"/>
      <c r="AD267" s="64"/>
      <c r="AK267" s="45">
        <f>SUM(T267:X267)-R267</f>
        <v>0</v>
      </c>
    </row>
    <row r="268" spans="1:37" ht="56.25" outlineLevel="2" x14ac:dyDescent="0.25">
      <c r="A268" s="236" t="s">
        <v>1404</v>
      </c>
      <c r="B268" s="154" t="s">
        <v>1649</v>
      </c>
      <c r="C268" s="153" t="s">
        <v>314</v>
      </c>
      <c r="D268" s="251" t="s">
        <v>298</v>
      </c>
      <c r="E268" s="153">
        <v>88.7</v>
      </c>
      <c r="F268" s="153">
        <v>95</v>
      </c>
      <c r="G268" s="153">
        <v>80</v>
      </c>
      <c r="H268" s="257">
        <f>F268/G268</f>
        <v>1.1875</v>
      </c>
      <c r="I268" s="257">
        <f>E268/G268</f>
        <v>1.1087500000000001</v>
      </c>
      <c r="J268" s="400" t="s">
        <v>1652</v>
      </c>
      <c r="K268" s="400" t="s">
        <v>41</v>
      </c>
      <c r="L268" s="283" t="s">
        <v>1133</v>
      </c>
      <c r="M268" s="40">
        <v>-1</v>
      </c>
      <c r="N268" s="41">
        <f t="shared" si="163"/>
        <v>1</v>
      </c>
      <c r="O268" s="41">
        <f t="shared" si="164"/>
        <v>1.1087500000000001</v>
      </c>
      <c r="AC268" s="64">
        <f t="shared" si="165"/>
        <v>1.1875</v>
      </c>
      <c r="AD268" s="64">
        <f t="shared" si="165"/>
        <v>1.1087500000000001</v>
      </c>
    </row>
    <row r="269" spans="1:37" ht="78.75" outlineLevel="2" x14ac:dyDescent="0.25">
      <c r="A269" s="236" t="s">
        <v>1405</v>
      </c>
      <c r="B269" s="154" t="s">
        <v>1650</v>
      </c>
      <c r="C269" s="153" t="s">
        <v>314</v>
      </c>
      <c r="D269" s="251" t="s">
        <v>298</v>
      </c>
      <c r="E269" s="153">
        <v>81.5</v>
      </c>
      <c r="F269" s="153">
        <v>98.9</v>
      </c>
      <c r="G269" s="153">
        <v>285.10000000000002</v>
      </c>
      <c r="H269" s="257">
        <f>F269/G269</f>
        <v>0.34689582602595581</v>
      </c>
      <c r="I269" s="257">
        <f>E269/G269</f>
        <v>0.28586460890915466</v>
      </c>
      <c r="J269" s="400" t="s">
        <v>1653</v>
      </c>
      <c r="K269" s="400" t="s">
        <v>1654</v>
      </c>
      <c r="L269" s="283" t="s">
        <v>1133</v>
      </c>
      <c r="M269" s="40">
        <v>-1</v>
      </c>
      <c r="N269" s="41">
        <f t="shared" si="163"/>
        <v>0.34689582602595581</v>
      </c>
      <c r="O269" s="41">
        <f t="shared" si="164"/>
        <v>0.28586460890915466</v>
      </c>
      <c r="AC269" s="64">
        <f t="shared" si="165"/>
        <v>0.34689582602595581</v>
      </c>
      <c r="AD269" s="64">
        <f t="shared" si="165"/>
        <v>0.28586460890915466</v>
      </c>
    </row>
    <row r="270" spans="1:37" ht="45" outlineLevel="2" x14ac:dyDescent="0.25">
      <c r="A270" s="236" t="s">
        <v>1406</v>
      </c>
      <c r="B270" s="154" t="s">
        <v>1651</v>
      </c>
      <c r="C270" s="153" t="s">
        <v>314</v>
      </c>
      <c r="D270" s="251" t="s">
        <v>298</v>
      </c>
      <c r="E270" s="153">
        <v>98.3</v>
      </c>
      <c r="F270" s="153">
        <v>99.6</v>
      </c>
      <c r="G270" s="153">
        <v>97.65</v>
      </c>
      <c r="H270" s="257">
        <f>F270/G270</f>
        <v>1.0199692780337941</v>
      </c>
      <c r="I270" s="257">
        <f>E270/G270</f>
        <v>1.0066564260112647</v>
      </c>
      <c r="J270" s="400" t="s">
        <v>1655</v>
      </c>
      <c r="K270" s="400"/>
      <c r="L270" s="283" t="s">
        <v>1133</v>
      </c>
      <c r="M270" s="40">
        <v>-1</v>
      </c>
      <c r="N270" s="41">
        <f t="shared" si="163"/>
        <v>1</v>
      </c>
      <c r="O270" s="41">
        <f t="shared" si="164"/>
        <v>1.0066564260112647</v>
      </c>
      <c r="AC270" s="64">
        <f t="shared" si="165"/>
        <v>1.0199692780337941</v>
      </c>
      <c r="AD270" s="64">
        <f t="shared" si="165"/>
        <v>1.0066564260112647</v>
      </c>
    </row>
    <row r="271" spans="1:37" ht="112.5" outlineLevel="2" x14ac:dyDescent="0.25">
      <c r="A271" s="236" t="s">
        <v>1407</v>
      </c>
      <c r="B271" s="154" t="s">
        <v>476</v>
      </c>
      <c r="C271" s="153" t="s">
        <v>314</v>
      </c>
      <c r="D271" s="244" t="s">
        <v>312</v>
      </c>
      <c r="E271" s="153">
        <v>84</v>
      </c>
      <c r="F271" s="153">
        <v>84</v>
      </c>
      <c r="G271" s="153">
        <v>82</v>
      </c>
      <c r="H271" s="257">
        <f>G271/F271</f>
        <v>0.97619047619047616</v>
      </c>
      <c r="I271" s="257">
        <f>G271/E271</f>
        <v>0.97619047619047616</v>
      </c>
      <c r="J271" s="400" t="s">
        <v>1656</v>
      </c>
      <c r="K271" s="400" t="s">
        <v>1657</v>
      </c>
      <c r="L271" s="283" t="s">
        <v>1133</v>
      </c>
      <c r="M271" s="40">
        <v>1</v>
      </c>
      <c r="N271" s="41">
        <f t="shared" si="163"/>
        <v>0.97619047619047616</v>
      </c>
      <c r="O271" s="41">
        <f t="shared" si="164"/>
        <v>0.97619047619047616</v>
      </c>
      <c r="AC271" s="64">
        <f t="shared" si="165"/>
        <v>0.97619047619047616</v>
      </c>
      <c r="AD271" s="64">
        <f t="shared" si="165"/>
        <v>0.97619047619047616</v>
      </c>
    </row>
    <row r="272" spans="1:37" ht="90" outlineLevel="2" x14ac:dyDescent="0.25">
      <c r="A272" s="236" t="s">
        <v>1408</v>
      </c>
      <c r="B272" s="154" t="s">
        <v>1140</v>
      </c>
      <c r="C272" s="153" t="s">
        <v>314</v>
      </c>
      <c r="D272" s="244" t="s">
        <v>312</v>
      </c>
      <c r="E272" s="153">
        <v>100</v>
      </c>
      <c r="F272" s="153">
        <v>80</v>
      </c>
      <c r="G272" s="153">
        <v>100</v>
      </c>
      <c r="H272" s="257">
        <f t="shared" ref="H272" si="166">G272/F272</f>
        <v>1.25</v>
      </c>
      <c r="I272" s="257">
        <f t="shared" ref="I272" si="167">G272/E272</f>
        <v>1</v>
      </c>
      <c r="J272" s="400" t="s">
        <v>1243</v>
      </c>
      <c r="K272" s="153" t="s">
        <v>41</v>
      </c>
      <c r="L272" s="283" t="s">
        <v>1133</v>
      </c>
      <c r="M272" s="40">
        <v>1</v>
      </c>
      <c r="N272" s="41">
        <f t="shared" si="163"/>
        <v>1</v>
      </c>
      <c r="O272" s="41">
        <f t="shared" si="164"/>
        <v>1</v>
      </c>
      <c r="AC272" s="64">
        <f t="shared" si="165"/>
        <v>1.25</v>
      </c>
      <c r="AD272" s="64">
        <f t="shared" si="165"/>
        <v>1</v>
      </c>
    </row>
    <row r="273" spans="1:37" s="45" customFormat="1" ht="18.75" customHeight="1" outlineLevel="1" x14ac:dyDescent="0.25">
      <c r="A273" s="65" t="s">
        <v>1409</v>
      </c>
      <c r="B273" s="621" t="s">
        <v>474</v>
      </c>
      <c r="C273" s="622"/>
      <c r="D273" s="622"/>
      <c r="E273" s="622"/>
      <c r="F273" s="622"/>
      <c r="G273" s="623"/>
      <c r="H273" s="66">
        <f>AVERAGE(N274:N276)</f>
        <v>0.98034188034188041</v>
      </c>
      <c r="I273" s="66">
        <f>AVERAGE(O274:O276)</f>
        <v>1.0293459375092029</v>
      </c>
      <c r="J273" s="67"/>
      <c r="K273" s="67"/>
      <c r="L273" s="68"/>
      <c r="M273" s="61"/>
      <c r="N273" s="188"/>
      <c r="O273" s="41"/>
      <c r="P273" s="47"/>
      <c r="Q273" s="47"/>
      <c r="R273" s="98">
        <f>COUNTA(C274:C276)</f>
        <v>3</v>
      </c>
      <c r="S273" s="97">
        <v>0</v>
      </c>
      <c r="T273" s="98">
        <f>COUNTIFS(AC274:AC276,"&gt;1,50")</f>
        <v>1</v>
      </c>
      <c r="U273" s="98">
        <f>COUNTIFS(AC274:AC276,"&gt;=0,995",AC274:AC276,"&lt;=1,5")</f>
        <v>1</v>
      </c>
      <c r="V273" s="98">
        <f>COUNTIFS(AC274:AC276,"&gt;=0,85",AC274:AC276,"&lt;0,995")</f>
        <v>1</v>
      </c>
      <c r="W273" s="98">
        <f>COUNTIFS(AC274:AC276,"&lt;0,85")</f>
        <v>0</v>
      </c>
      <c r="X273" s="50"/>
      <c r="Z273" s="90">
        <f>COUNTIFS(AD274:AD276,"&gt;=1,01")</f>
        <v>1</v>
      </c>
      <c r="AA273" s="90">
        <f>COUNTIFS(AD274:AD276,"&gt;=0,99",AD274:AD276,"&lt;1,01")</f>
        <v>0</v>
      </c>
      <c r="AB273" s="91">
        <f>COUNTIFS(AD274:AD276,"&lt;0,99")</f>
        <v>1</v>
      </c>
      <c r="AC273" s="64"/>
      <c r="AD273" s="64"/>
      <c r="AK273" s="45">
        <f>SUM(T273:X273)-R273</f>
        <v>0</v>
      </c>
    </row>
    <row r="274" spans="1:37" ht="56.25" outlineLevel="2" x14ac:dyDescent="0.25">
      <c r="A274" s="236" t="s">
        <v>1410</v>
      </c>
      <c r="B274" s="154" t="s">
        <v>1141</v>
      </c>
      <c r="C274" s="153" t="s">
        <v>314</v>
      </c>
      <c r="D274" s="244" t="s">
        <v>312</v>
      </c>
      <c r="E274" s="153">
        <v>59.4</v>
      </c>
      <c r="F274" s="153">
        <v>58.5</v>
      </c>
      <c r="G274" s="153">
        <v>55.05</v>
      </c>
      <c r="H274" s="257">
        <f>G274/F274</f>
        <v>0.94102564102564101</v>
      </c>
      <c r="I274" s="257">
        <f t="shared" ref="I274:I276" si="168">G274/E274</f>
        <v>0.9267676767676768</v>
      </c>
      <c r="J274" s="400" t="s">
        <v>1658</v>
      </c>
      <c r="K274" s="400" t="s">
        <v>1659</v>
      </c>
      <c r="L274" s="283" t="s">
        <v>1133</v>
      </c>
      <c r="M274" s="40">
        <v>-1</v>
      </c>
      <c r="N274" s="41">
        <f t="shared" ref="N274:N290" si="169">IF(H274&gt;1,1,H274)</f>
        <v>0.94102564102564101</v>
      </c>
      <c r="O274" s="41">
        <f t="shared" si="164"/>
        <v>0.9267676767676768</v>
      </c>
      <c r="AC274" s="64">
        <f t="shared" si="165"/>
        <v>0.94102564102564101</v>
      </c>
      <c r="AD274" s="64">
        <f t="shared" si="165"/>
        <v>0.9267676767676768</v>
      </c>
    </row>
    <row r="275" spans="1:37" ht="112.5" outlineLevel="2" x14ac:dyDescent="0.25">
      <c r="A275" s="236" t="s">
        <v>1411</v>
      </c>
      <c r="B275" s="154" t="s">
        <v>1143</v>
      </c>
      <c r="C275" s="153" t="s">
        <v>320</v>
      </c>
      <c r="D275" s="244" t="s">
        <v>312</v>
      </c>
      <c r="E275" s="153">
        <v>1372</v>
      </c>
      <c r="F275" s="153">
        <v>330</v>
      </c>
      <c r="G275" s="153">
        <v>1553</v>
      </c>
      <c r="H275" s="257">
        <f>G275/F275</f>
        <v>4.7060606060606061</v>
      </c>
      <c r="I275" s="257">
        <f t="shared" si="168"/>
        <v>1.1319241982507289</v>
      </c>
      <c r="J275" s="400" t="s">
        <v>1660</v>
      </c>
      <c r="K275" s="400" t="s">
        <v>1661</v>
      </c>
      <c r="L275" s="283" t="s">
        <v>1133</v>
      </c>
      <c r="M275" s="40">
        <v>1</v>
      </c>
      <c r="N275" s="41">
        <f t="shared" si="169"/>
        <v>1</v>
      </c>
      <c r="O275" s="41">
        <f t="shared" si="164"/>
        <v>1.1319241982507289</v>
      </c>
      <c r="AC275" s="64">
        <f t="shared" si="165"/>
        <v>4.7060606060606061</v>
      </c>
      <c r="AD275" s="64">
        <f t="shared" si="165"/>
        <v>1.1319241982507289</v>
      </c>
    </row>
    <row r="276" spans="1:37" ht="67.5" outlineLevel="2" x14ac:dyDescent="0.25">
      <c r="A276" s="236" t="s">
        <v>1412</v>
      </c>
      <c r="B276" s="154" t="s">
        <v>1144</v>
      </c>
      <c r="C276" s="153" t="s">
        <v>1145</v>
      </c>
      <c r="D276" s="127" t="s">
        <v>331</v>
      </c>
      <c r="E276" s="153">
        <v>1</v>
      </c>
      <c r="F276" s="153">
        <v>1</v>
      </c>
      <c r="G276" s="153">
        <v>1</v>
      </c>
      <c r="H276" s="257">
        <f>G276/F276</f>
        <v>1</v>
      </c>
      <c r="I276" s="257">
        <f t="shared" si="168"/>
        <v>1</v>
      </c>
      <c r="J276" s="400" t="s">
        <v>41</v>
      </c>
      <c r="K276" s="400" t="s">
        <v>41</v>
      </c>
      <c r="L276" s="283" t="s">
        <v>1133</v>
      </c>
      <c r="M276" s="40">
        <v>1</v>
      </c>
      <c r="N276" s="41">
        <f t="shared" si="169"/>
        <v>1</v>
      </c>
      <c r="O276" s="41" t="s">
        <v>41</v>
      </c>
      <c r="AC276" s="64">
        <f t="shared" si="165"/>
        <v>1</v>
      </c>
      <c r="AD276" s="64" t="s">
        <v>41</v>
      </c>
    </row>
    <row r="277" spans="1:37" s="45" customFormat="1" ht="20.25" customHeight="1" x14ac:dyDescent="0.25">
      <c r="A277" s="401" t="s">
        <v>197</v>
      </c>
      <c r="B277" s="624" t="s">
        <v>777</v>
      </c>
      <c r="C277" s="624"/>
      <c r="D277" s="624"/>
      <c r="E277" s="624"/>
      <c r="F277" s="624"/>
      <c r="G277" s="624"/>
      <c r="H277" s="402">
        <f>AVERAGE(N278:N284,N286:N291,N293:N298,N300:N305,N307:N314,N316:N318)</f>
        <v>0.87066709684945953</v>
      </c>
      <c r="I277" s="402">
        <f>AVERAGE(O278:O284,O286:O291,O293:O298,O300:O305,O307:O314,O316:O318)</f>
        <v>0.92861713137035329</v>
      </c>
      <c r="J277" s="403"/>
      <c r="K277" s="403"/>
      <c r="L277" s="404"/>
      <c r="M277" s="40"/>
      <c r="N277" s="41"/>
      <c r="O277" s="41"/>
      <c r="P277" s="47"/>
      <c r="Q277" s="47"/>
      <c r="R277" s="104">
        <f>COUNTA(C278:C318)</f>
        <v>36</v>
      </c>
      <c r="S277" s="96">
        <f>R277-T277-U277-V277-W277</f>
        <v>1</v>
      </c>
      <c r="T277" s="104">
        <f>COUNTIFS(AC278:AC318,"&gt;1,50")</f>
        <v>2</v>
      </c>
      <c r="U277" s="104">
        <f>COUNTIFS(AC278:AC318,"&gt;=0,995",AC278:AC318,"&lt;=1,5")</f>
        <v>23</v>
      </c>
      <c r="V277" s="104">
        <f>COUNTIFS(AC278:AC318,"&gt;=0,85",AC278:AC318,"&lt;0,995")</f>
        <v>3</v>
      </c>
      <c r="W277" s="104">
        <f>COUNTIFS(AC278:AC318,"&lt;0,85")</f>
        <v>7</v>
      </c>
      <c r="X277" s="47"/>
      <c r="Z277" s="94">
        <f>COUNTIFS(AD278:AD318,"&gt;=1,01")</f>
        <v>4</v>
      </c>
      <c r="AA277" s="94">
        <f>COUNTIFS(AD278:AD318,"&gt;=0,99",AD278:AD318,"&lt;1,01")</f>
        <v>8</v>
      </c>
      <c r="AB277" s="95">
        <f>COUNTIFS(AD278:AD318,"&lt;0,99")</f>
        <v>9</v>
      </c>
      <c r="AC277" s="64"/>
      <c r="AD277" s="64"/>
      <c r="AK277" s="45">
        <f>SUM(T277:X277)-R277</f>
        <v>-1</v>
      </c>
    </row>
    <row r="278" spans="1:37" ht="45" outlineLevel="2" x14ac:dyDescent="0.25">
      <c r="A278" s="236" t="s">
        <v>458</v>
      </c>
      <c r="B278" s="79" t="s">
        <v>868</v>
      </c>
      <c r="C278" s="148" t="s">
        <v>314</v>
      </c>
      <c r="D278" s="244" t="s">
        <v>312</v>
      </c>
      <c r="E278" s="297">
        <v>13.6</v>
      </c>
      <c r="F278" s="297">
        <v>13.96</v>
      </c>
      <c r="G278" s="298">
        <v>13.31</v>
      </c>
      <c r="H278" s="257">
        <f>G278/F278</f>
        <v>0.95343839541547271</v>
      </c>
      <c r="I278" s="257">
        <f>G278/E278</f>
        <v>0.97867647058823537</v>
      </c>
      <c r="J278" s="299" t="s">
        <v>1781</v>
      </c>
      <c r="K278" s="299" t="s">
        <v>41</v>
      </c>
      <c r="L278" s="39" t="s">
        <v>147</v>
      </c>
      <c r="M278" s="40">
        <v>1</v>
      </c>
      <c r="N278" s="41">
        <f t="shared" si="169"/>
        <v>0.95343839541547271</v>
      </c>
      <c r="O278" s="41">
        <f t="shared" ref="O278:O288" si="170">IF(I278&gt;1.25,1.25,I278)</f>
        <v>0.97867647058823537</v>
      </c>
      <c r="AC278" s="64">
        <f t="shared" si="165"/>
        <v>0.95343839541547271</v>
      </c>
      <c r="AD278" s="64">
        <f t="shared" si="165"/>
        <v>0.97867647058823537</v>
      </c>
    </row>
    <row r="279" spans="1:37" ht="56.25" outlineLevel="2" x14ac:dyDescent="0.25">
      <c r="A279" s="236" t="s">
        <v>459</v>
      </c>
      <c r="B279" s="79" t="s">
        <v>869</v>
      </c>
      <c r="C279" s="148" t="s">
        <v>314</v>
      </c>
      <c r="D279" s="244" t="s">
        <v>312</v>
      </c>
      <c r="E279" s="261">
        <v>66.099999999999994</v>
      </c>
      <c r="F279" s="261">
        <v>85.25</v>
      </c>
      <c r="G279" s="300">
        <v>66.099999999999994</v>
      </c>
      <c r="H279" s="257">
        <f>G279/F279</f>
        <v>0.77536656891495592</v>
      </c>
      <c r="I279" s="257">
        <f>G279/E279</f>
        <v>1</v>
      </c>
      <c r="J279" s="299" t="s">
        <v>1303</v>
      </c>
      <c r="K279" s="299" t="s">
        <v>1782</v>
      </c>
      <c r="L279" s="39" t="s">
        <v>147</v>
      </c>
      <c r="M279" s="40">
        <v>1</v>
      </c>
      <c r="N279" s="41">
        <f t="shared" si="169"/>
        <v>0.77536656891495592</v>
      </c>
      <c r="O279" s="41">
        <f t="shared" si="170"/>
        <v>1</v>
      </c>
      <c r="AC279" s="64">
        <f t="shared" si="165"/>
        <v>0.77536656891495592</v>
      </c>
      <c r="AD279" s="64">
        <f t="shared" si="165"/>
        <v>1</v>
      </c>
    </row>
    <row r="280" spans="1:37" ht="33.75" outlineLevel="2" x14ac:dyDescent="0.25">
      <c r="A280" s="236" t="s">
        <v>460</v>
      </c>
      <c r="B280" s="79" t="s">
        <v>870</v>
      </c>
      <c r="C280" s="301" t="s">
        <v>314</v>
      </c>
      <c r="D280" s="302" t="s">
        <v>872</v>
      </c>
      <c r="E280" s="148">
        <v>7.7</v>
      </c>
      <c r="F280" s="148">
        <v>8.93</v>
      </c>
      <c r="G280" s="298">
        <v>8.93</v>
      </c>
      <c r="H280" s="257">
        <f t="shared" ref="H280:H283" si="171">G280/F280</f>
        <v>1</v>
      </c>
      <c r="I280" s="257">
        <f t="shared" ref="I280:I283" si="172">G280/E280</f>
        <v>1.1597402597402597</v>
      </c>
      <c r="J280" s="299" t="s">
        <v>1783</v>
      </c>
      <c r="K280" s="299" t="s">
        <v>41</v>
      </c>
      <c r="L280" s="39" t="s">
        <v>147</v>
      </c>
      <c r="M280" s="40">
        <v>1</v>
      </c>
      <c r="N280" s="41" t="s">
        <v>41</v>
      </c>
      <c r="O280" s="41" t="s">
        <v>41</v>
      </c>
      <c r="AC280" s="64"/>
      <c r="AD280" s="64"/>
    </row>
    <row r="281" spans="1:37" ht="45" outlineLevel="2" x14ac:dyDescent="0.25">
      <c r="A281" s="236" t="s">
        <v>1413</v>
      </c>
      <c r="B281" s="79" t="s">
        <v>871</v>
      </c>
      <c r="C281" s="301" t="s">
        <v>314</v>
      </c>
      <c r="D281" s="302" t="s">
        <v>872</v>
      </c>
      <c r="E281" s="148">
        <v>99.5</v>
      </c>
      <c r="F281" s="148">
        <v>26.1</v>
      </c>
      <c r="G281" s="298">
        <v>86.4</v>
      </c>
      <c r="H281" s="257">
        <f t="shared" si="171"/>
        <v>3.3103448275862069</v>
      </c>
      <c r="I281" s="257">
        <f t="shared" si="172"/>
        <v>0.86834170854271364</v>
      </c>
      <c r="J281" s="299" t="s">
        <v>1784</v>
      </c>
      <c r="K281" s="299" t="s">
        <v>41</v>
      </c>
      <c r="L281" s="148" t="s">
        <v>887</v>
      </c>
      <c r="M281" s="40">
        <v>1</v>
      </c>
      <c r="N281" s="41">
        <f t="shared" si="169"/>
        <v>1</v>
      </c>
      <c r="O281" s="41">
        <f t="shared" si="170"/>
        <v>0.86834170854271364</v>
      </c>
      <c r="AC281" s="64">
        <f t="shared" si="165"/>
        <v>3.3103448275862069</v>
      </c>
      <c r="AD281" s="64">
        <f t="shared" si="165"/>
        <v>0.86834170854271364</v>
      </c>
    </row>
    <row r="282" spans="1:37" ht="22.5" customHeight="1" outlineLevel="2" x14ac:dyDescent="0.25">
      <c r="A282" s="236" t="s">
        <v>1414</v>
      </c>
      <c r="B282" s="79" t="s">
        <v>480</v>
      </c>
      <c r="C282" s="148" t="s">
        <v>314</v>
      </c>
      <c r="D282" s="127" t="s">
        <v>331</v>
      </c>
      <c r="E282" s="297">
        <v>37.4</v>
      </c>
      <c r="F282" s="297">
        <v>37.4</v>
      </c>
      <c r="G282" s="297">
        <v>37.4</v>
      </c>
      <c r="H282" s="257">
        <f t="shared" si="171"/>
        <v>1</v>
      </c>
      <c r="I282" s="257" t="s">
        <v>41</v>
      </c>
      <c r="J282" s="299"/>
      <c r="K282" s="299" t="s">
        <v>41</v>
      </c>
      <c r="L282" s="39" t="s">
        <v>147</v>
      </c>
      <c r="M282" s="40">
        <v>0</v>
      </c>
      <c r="N282" s="41">
        <f t="shared" si="169"/>
        <v>1</v>
      </c>
      <c r="O282" s="41" t="s">
        <v>41</v>
      </c>
      <c r="AC282" s="64">
        <f t="shared" si="165"/>
        <v>1</v>
      </c>
      <c r="AD282" s="64" t="s">
        <v>41</v>
      </c>
    </row>
    <row r="283" spans="1:37" ht="33.75" outlineLevel="2" x14ac:dyDescent="0.25">
      <c r="A283" s="236" t="s">
        <v>1415</v>
      </c>
      <c r="B283" s="79" t="s">
        <v>481</v>
      </c>
      <c r="C283" s="148" t="s">
        <v>314</v>
      </c>
      <c r="D283" s="244" t="s">
        <v>312</v>
      </c>
      <c r="E283" s="297">
        <v>99.5</v>
      </c>
      <c r="F283" s="297">
        <v>100</v>
      </c>
      <c r="G283" s="297">
        <v>99.5</v>
      </c>
      <c r="H283" s="257">
        <f t="shared" si="171"/>
        <v>0.995</v>
      </c>
      <c r="I283" s="257">
        <f t="shared" si="172"/>
        <v>1</v>
      </c>
      <c r="J283" s="299" t="s">
        <v>1146</v>
      </c>
      <c r="K283" s="299" t="s">
        <v>41</v>
      </c>
      <c r="L283" s="39" t="s">
        <v>147</v>
      </c>
      <c r="M283" s="40">
        <v>1</v>
      </c>
      <c r="N283" s="41">
        <f t="shared" si="169"/>
        <v>0.995</v>
      </c>
      <c r="O283" s="41">
        <f t="shared" si="170"/>
        <v>1</v>
      </c>
      <c r="AC283" s="64">
        <f t="shared" si="165"/>
        <v>0.995</v>
      </c>
      <c r="AD283" s="64">
        <f t="shared" si="165"/>
        <v>1</v>
      </c>
    </row>
    <row r="284" spans="1:37" ht="56.25" outlineLevel="2" x14ac:dyDescent="0.25">
      <c r="A284" s="236" t="s">
        <v>1416</v>
      </c>
      <c r="B284" s="79" t="s">
        <v>1008</v>
      </c>
      <c r="C284" s="301" t="s">
        <v>314</v>
      </c>
      <c r="D284" s="251" t="s">
        <v>298</v>
      </c>
      <c r="E284" s="153">
        <v>81.8</v>
      </c>
      <c r="F284" s="153">
        <v>93.7</v>
      </c>
      <c r="G284" s="298">
        <v>86.4</v>
      </c>
      <c r="H284" s="257">
        <f>F284/G284</f>
        <v>1.0844907407407407</v>
      </c>
      <c r="I284" s="257">
        <f>E284/G284</f>
        <v>0.94675925925925919</v>
      </c>
      <c r="J284" s="299" t="s">
        <v>1785</v>
      </c>
      <c r="K284" s="299" t="s">
        <v>41</v>
      </c>
      <c r="L284" s="148" t="s">
        <v>887</v>
      </c>
      <c r="M284" s="40">
        <v>-1</v>
      </c>
      <c r="N284" s="41">
        <f t="shared" si="169"/>
        <v>1</v>
      </c>
      <c r="O284" s="41">
        <f t="shared" si="170"/>
        <v>0.94675925925925919</v>
      </c>
      <c r="AC284" s="64">
        <f t="shared" si="165"/>
        <v>1.0844907407407407</v>
      </c>
      <c r="AD284" s="64">
        <f t="shared" si="165"/>
        <v>0.94675925925925919</v>
      </c>
    </row>
    <row r="285" spans="1:37" s="45" customFormat="1" outlineLevel="1" x14ac:dyDescent="0.25">
      <c r="A285" s="65" t="s">
        <v>461</v>
      </c>
      <c r="B285" s="619" t="s">
        <v>482</v>
      </c>
      <c r="C285" s="619"/>
      <c r="D285" s="619"/>
      <c r="E285" s="619"/>
      <c r="F285" s="619"/>
      <c r="G285" s="619"/>
      <c r="H285" s="66">
        <f>AVERAGE(N286:N291)</f>
        <v>0.82678132678132688</v>
      </c>
      <c r="I285" s="66">
        <f>AVERAGE(O286:O291)</f>
        <v>1.1117302851967512</v>
      </c>
      <c r="J285" s="67"/>
      <c r="K285" s="67"/>
      <c r="L285" s="68"/>
      <c r="M285" s="40"/>
      <c r="N285" s="41"/>
      <c r="O285" s="41"/>
      <c r="P285" s="47"/>
      <c r="Q285" s="47"/>
      <c r="R285" s="98">
        <f>COUNTA(C286:C291)</f>
        <v>6</v>
      </c>
      <c r="S285" s="97">
        <v>0</v>
      </c>
      <c r="T285" s="98">
        <f>COUNTIFS(AC286:AC290,"&gt;1,50")</f>
        <v>0</v>
      </c>
      <c r="U285" s="98">
        <f>COUNTIFS(AC286:AC290,"&gt;=0,995",AC286:AC290,"&lt;=1,5")</f>
        <v>4</v>
      </c>
      <c r="V285" s="98">
        <f>COUNTIFS(AC286:AC290,"&gt;=0,85",AC286:AC290,"&lt;0,995")</f>
        <v>1</v>
      </c>
      <c r="W285" s="98">
        <f>COUNTIFS(AC286:AC290,"&lt;0,85")</f>
        <v>0</v>
      </c>
      <c r="X285" s="50"/>
      <c r="Z285" s="90">
        <f>COUNTIFS(AD286:AD290,"&gt;=1,01")</f>
        <v>2</v>
      </c>
      <c r="AA285" s="90">
        <f>COUNTIFS(AD286:AD290,"&gt;=0,99",AD286:AD290,"&lt;1,01")</f>
        <v>0</v>
      </c>
      <c r="AB285" s="91">
        <f>COUNTIFS(AD286:AD290,"&lt;0,99")</f>
        <v>0</v>
      </c>
      <c r="AC285" s="64"/>
      <c r="AD285" s="64"/>
      <c r="AK285" s="45">
        <f>SUM(T285:X285)-R285</f>
        <v>-1</v>
      </c>
    </row>
    <row r="286" spans="1:37" ht="33.75" outlineLevel="2" x14ac:dyDescent="0.25">
      <c r="A286" s="236" t="s">
        <v>463</v>
      </c>
      <c r="B286" s="149" t="s">
        <v>484</v>
      </c>
      <c r="C286" s="148" t="s">
        <v>314</v>
      </c>
      <c r="D286" s="260" t="s">
        <v>331</v>
      </c>
      <c r="E286" s="297">
        <v>7.89</v>
      </c>
      <c r="F286" s="297">
        <v>7.89</v>
      </c>
      <c r="G286" s="298">
        <v>7.89</v>
      </c>
      <c r="H286" s="257">
        <f t="shared" ref="H286:H290" si="173">G286/F286</f>
        <v>1</v>
      </c>
      <c r="I286" s="257">
        <f t="shared" ref="I286:I290" si="174">G286/E286</f>
        <v>1</v>
      </c>
      <c r="J286" s="299" t="s">
        <v>41</v>
      </c>
      <c r="K286" s="299" t="s">
        <v>41</v>
      </c>
      <c r="L286" s="39" t="s">
        <v>147</v>
      </c>
      <c r="M286" s="40">
        <v>0</v>
      </c>
      <c r="N286" s="41">
        <f t="shared" si="169"/>
        <v>1</v>
      </c>
      <c r="O286" s="41" t="s">
        <v>41</v>
      </c>
      <c r="AC286" s="64">
        <f t="shared" si="165"/>
        <v>1</v>
      </c>
      <c r="AD286" s="64" t="s">
        <v>41</v>
      </c>
    </row>
    <row r="287" spans="1:37" ht="33.75" outlineLevel="2" x14ac:dyDescent="0.25">
      <c r="A287" s="236" t="s">
        <v>464</v>
      </c>
      <c r="B287" s="149" t="s">
        <v>486</v>
      </c>
      <c r="C287" s="148" t="s">
        <v>314</v>
      </c>
      <c r="D287" s="244" t="s">
        <v>312</v>
      </c>
      <c r="E287" s="297">
        <v>7.72</v>
      </c>
      <c r="F287" s="297">
        <v>8.14</v>
      </c>
      <c r="G287" s="298">
        <v>7.82</v>
      </c>
      <c r="H287" s="257">
        <f t="shared" si="173"/>
        <v>0.9606879606879607</v>
      </c>
      <c r="I287" s="257">
        <f t="shared" si="174"/>
        <v>1.0129533678756477</v>
      </c>
      <c r="J287" s="299" t="s">
        <v>1789</v>
      </c>
      <c r="K287" s="299" t="s">
        <v>41</v>
      </c>
      <c r="L287" s="39" t="s">
        <v>147</v>
      </c>
      <c r="M287" s="40">
        <v>1</v>
      </c>
      <c r="N287" s="41">
        <f t="shared" si="169"/>
        <v>0.9606879606879607</v>
      </c>
      <c r="O287" s="41">
        <f t="shared" si="170"/>
        <v>1.0129533678756477</v>
      </c>
      <c r="AC287" s="64">
        <f t="shared" si="165"/>
        <v>0.9606879606879607</v>
      </c>
      <c r="AD287" s="64">
        <f t="shared" si="165"/>
        <v>1.0129533678756477</v>
      </c>
    </row>
    <row r="288" spans="1:37" ht="45" outlineLevel="2" x14ac:dyDescent="0.25">
      <c r="A288" s="236" t="s">
        <v>465</v>
      </c>
      <c r="B288" s="149" t="s">
        <v>873</v>
      </c>
      <c r="C288" s="217" t="s">
        <v>314</v>
      </c>
      <c r="D288" s="184" t="s">
        <v>312</v>
      </c>
      <c r="E288" s="297">
        <v>82.61</v>
      </c>
      <c r="F288" s="303">
        <v>100</v>
      </c>
      <c r="G288" s="298">
        <v>100</v>
      </c>
      <c r="H288" s="257">
        <f t="shared" si="173"/>
        <v>1</v>
      </c>
      <c r="I288" s="257">
        <f t="shared" si="174"/>
        <v>1.2105072025178549</v>
      </c>
      <c r="J288" s="299" t="s">
        <v>1790</v>
      </c>
      <c r="K288" s="299" t="s">
        <v>41</v>
      </c>
      <c r="L288" s="39" t="s">
        <v>147</v>
      </c>
      <c r="M288" s="40">
        <v>1</v>
      </c>
      <c r="N288" s="41">
        <f t="shared" si="169"/>
        <v>1</v>
      </c>
      <c r="O288" s="41">
        <f t="shared" si="170"/>
        <v>1.2105072025178549</v>
      </c>
      <c r="AC288" s="64">
        <f t="shared" si="165"/>
        <v>1</v>
      </c>
      <c r="AD288" s="64">
        <f t="shared" si="165"/>
        <v>1.2105072025178549</v>
      </c>
    </row>
    <row r="289" spans="1:37" ht="45" outlineLevel="2" x14ac:dyDescent="0.25">
      <c r="A289" s="236" t="s">
        <v>467</v>
      </c>
      <c r="B289" s="149" t="s">
        <v>874</v>
      </c>
      <c r="C289" s="148" t="s">
        <v>314</v>
      </c>
      <c r="D289" s="260" t="s">
        <v>331</v>
      </c>
      <c r="E289" s="304">
        <v>99</v>
      </c>
      <c r="F289" s="304">
        <v>99</v>
      </c>
      <c r="G289" s="298">
        <v>99</v>
      </c>
      <c r="H289" s="257">
        <f t="shared" si="173"/>
        <v>1</v>
      </c>
      <c r="I289" s="257">
        <f t="shared" si="174"/>
        <v>1</v>
      </c>
      <c r="J289" s="299" t="s">
        <v>41</v>
      </c>
      <c r="K289" s="299" t="s">
        <v>41</v>
      </c>
      <c r="L289" s="39" t="s">
        <v>147</v>
      </c>
      <c r="M289" s="40">
        <v>0</v>
      </c>
      <c r="N289" s="41">
        <f t="shared" si="169"/>
        <v>1</v>
      </c>
      <c r="O289" s="41" t="s">
        <v>41</v>
      </c>
      <c r="AC289" s="64">
        <f t="shared" si="165"/>
        <v>1</v>
      </c>
      <c r="AD289" s="64" t="s">
        <v>41</v>
      </c>
    </row>
    <row r="290" spans="1:37" ht="45" outlineLevel="2" x14ac:dyDescent="0.25">
      <c r="A290" s="236" t="s">
        <v>1417</v>
      </c>
      <c r="B290" s="149" t="s">
        <v>1305</v>
      </c>
      <c r="C290" s="148" t="s">
        <v>334</v>
      </c>
      <c r="D290" s="260" t="s">
        <v>331</v>
      </c>
      <c r="E290" s="304">
        <v>1</v>
      </c>
      <c r="F290" s="304">
        <v>1</v>
      </c>
      <c r="G290" s="298">
        <v>1</v>
      </c>
      <c r="H290" s="257">
        <f t="shared" si="173"/>
        <v>1</v>
      </c>
      <c r="I290" s="257">
        <f t="shared" si="174"/>
        <v>1</v>
      </c>
      <c r="J290" s="299" t="s">
        <v>41</v>
      </c>
      <c r="K290" s="299" t="s">
        <v>41</v>
      </c>
      <c r="L290" s="39" t="s">
        <v>147</v>
      </c>
      <c r="M290" s="40">
        <v>0</v>
      </c>
      <c r="N290" s="41">
        <f t="shared" si="169"/>
        <v>1</v>
      </c>
      <c r="O290" s="41" t="s">
        <v>41</v>
      </c>
      <c r="AC290" s="64">
        <f t="shared" si="165"/>
        <v>1</v>
      </c>
      <c r="AD290" s="64" t="s">
        <v>41</v>
      </c>
    </row>
    <row r="291" spans="1:37" ht="45" outlineLevel="2" x14ac:dyDescent="0.25">
      <c r="A291" s="236" t="s">
        <v>1786</v>
      </c>
      <c r="B291" s="149" t="s">
        <v>1787</v>
      </c>
      <c r="C291" s="148" t="s">
        <v>1788</v>
      </c>
      <c r="D291" s="260" t="s">
        <v>331</v>
      </c>
      <c r="E291" s="304" t="s">
        <v>41</v>
      </c>
      <c r="F291" s="304">
        <v>1</v>
      </c>
      <c r="G291" s="298">
        <v>0</v>
      </c>
      <c r="H291" s="257">
        <f t="shared" ref="H291" si="175">G291/F291</f>
        <v>0</v>
      </c>
      <c r="I291" s="257" t="s">
        <v>41</v>
      </c>
      <c r="J291" s="299" t="s">
        <v>1791</v>
      </c>
      <c r="K291" s="299" t="s">
        <v>41</v>
      </c>
      <c r="L291" s="39" t="s">
        <v>147</v>
      </c>
      <c r="M291" s="40">
        <v>0</v>
      </c>
      <c r="N291" s="41">
        <f t="shared" ref="N291" si="176">IF(H291&gt;1,1,H291)</f>
        <v>0</v>
      </c>
      <c r="O291" s="41" t="s">
        <v>41</v>
      </c>
      <c r="AC291" s="64">
        <f t="shared" si="165"/>
        <v>0</v>
      </c>
      <c r="AD291" s="440" t="s">
        <v>41</v>
      </c>
    </row>
    <row r="292" spans="1:37" s="45" customFormat="1" outlineLevel="1" x14ac:dyDescent="0.25">
      <c r="A292" s="65" t="s">
        <v>469</v>
      </c>
      <c r="B292" s="619" t="s">
        <v>487</v>
      </c>
      <c r="C292" s="619"/>
      <c r="D292" s="619"/>
      <c r="E292" s="619"/>
      <c r="F292" s="619"/>
      <c r="G292" s="619"/>
      <c r="H292" s="66">
        <f>AVERAGE(N293:N298)</f>
        <v>0.96676040154813736</v>
      </c>
      <c r="I292" s="66">
        <f>AVERAGE(O293:O298)</f>
        <v>0.7333155719244383</v>
      </c>
      <c r="J292" s="67"/>
      <c r="K292" s="67"/>
      <c r="L292" s="68"/>
      <c r="M292" s="40"/>
      <c r="N292" s="188"/>
      <c r="O292" s="188"/>
      <c r="P292" s="47"/>
      <c r="Q292" s="47"/>
      <c r="R292" s="98">
        <f>COUNTA(C293:C298)</f>
        <v>6</v>
      </c>
      <c r="S292" s="97">
        <v>0</v>
      </c>
      <c r="T292" s="98">
        <f>COUNTIFS(AC293:AC298,"&gt;1,50")</f>
        <v>1</v>
      </c>
      <c r="U292" s="98">
        <f>COUNTIFS(AC293:AC298,"&gt;=0,995",AC293:AC298,"&lt;=1,5")</f>
        <v>3</v>
      </c>
      <c r="V292" s="98">
        <f>COUNTIFS(AC293:AC298,"&gt;=0,85",AC293:AC298,"&lt;0,995")</f>
        <v>1</v>
      </c>
      <c r="W292" s="98">
        <f>COUNTIFS(AC293:AC298,"&lt;0,85")</f>
        <v>1</v>
      </c>
      <c r="X292" s="50"/>
      <c r="Z292" s="90">
        <f>COUNTIFS(AD293:AD298,"&gt;=1,01")</f>
        <v>0</v>
      </c>
      <c r="AA292" s="90">
        <f>COUNTIFS(AD293:AD298,"&gt;=0,99",AD293:AD298,"&lt;1,01")</f>
        <v>0</v>
      </c>
      <c r="AB292" s="91">
        <f>COUNTIFS(AD293:AD298,"&lt;0,99")</f>
        <v>6</v>
      </c>
      <c r="AC292" s="64"/>
      <c r="AD292" s="64"/>
      <c r="AK292" s="45">
        <f>SUM(T292:X292)-R292</f>
        <v>0</v>
      </c>
    </row>
    <row r="293" spans="1:37" ht="33.75" outlineLevel="2" x14ac:dyDescent="0.25">
      <c r="A293" s="236" t="s">
        <v>471</v>
      </c>
      <c r="B293" s="79" t="s">
        <v>489</v>
      </c>
      <c r="C293" s="148" t="s">
        <v>314</v>
      </c>
      <c r="D293" s="244" t="s">
        <v>312</v>
      </c>
      <c r="E293" s="304">
        <v>95.9</v>
      </c>
      <c r="F293" s="304">
        <v>84.8</v>
      </c>
      <c r="G293" s="304">
        <v>69.599999999999994</v>
      </c>
      <c r="H293" s="257">
        <f t="shared" ref="H293:H297" si="177">G293/F293</f>
        <v>0.820754716981132</v>
      </c>
      <c r="I293" s="257">
        <f t="shared" ref="I293:I297" si="178">G293/E293</f>
        <v>0.72575599582898842</v>
      </c>
      <c r="J293" s="299" t="s">
        <v>1792</v>
      </c>
      <c r="K293" s="299" t="s">
        <v>41</v>
      </c>
      <c r="L293" s="39" t="s">
        <v>147</v>
      </c>
      <c r="M293" s="40">
        <v>1</v>
      </c>
      <c r="N293" s="41">
        <f t="shared" ref="N293:N328" si="179">IF(H293&gt;1,1,H293)</f>
        <v>0.820754716981132</v>
      </c>
      <c r="O293" s="41">
        <f t="shared" ref="O293:O302" si="180">IF(I293&gt;1.25,1.25,I293)</f>
        <v>0.72575599582898842</v>
      </c>
      <c r="AC293" s="64">
        <f t="shared" si="165"/>
        <v>0.820754716981132</v>
      </c>
      <c r="AD293" s="64">
        <f t="shared" si="165"/>
        <v>0.72575599582898842</v>
      </c>
    </row>
    <row r="294" spans="1:37" ht="38.25" customHeight="1" outlineLevel="2" x14ac:dyDescent="0.25">
      <c r="A294" s="236" t="s">
        <v>472</v>
      </c>
      <c r="B294" s="79" t="s">
        <v>491</v>
      </c>
      <c r="C294" s="148" t="s">
        <v>314</v>
      </c>
      <c r="D294" s="244" t="s">
        <v>312</v>
      </c>
      <c r="E294" s="304">
        <v>26.5</v>
      </c>
      <c r="F294" s="304">
        <v>20.8</v>
      </c>
      <c r="G294" s="304">
        <v>20.38</v>
      </c>
      <c r="H294" s="257">
        <f t="shared" si="177"/>
        <v>0.97980769230769227</v>
      </c>
      <c r="I294" s="257">
        <f t="shared" si="178"/>
        <v>0.76905660377358487</v>
      </c>
      <c r="J294" s="299" t="s">
        <v>1147</v>
      </c>
      <c r="K294" s="299" t="s">
        <v>877</v>
      </c>
      <c r="L294" s="39" t="s">
        <v>147</v>
      </c>
      <c r="M294" s="40">
        <v>1</v>
      </c>
      <c r="N294" s="41">
        <f t="shared" si="179"/>
        <v>0.97980769230769227</v>
      </c>
      <c r="O294" s="41">
        <f t="shared" si="180"/>
        <v>0.76905660377358487</v>
      </c>
      <c r="AC294" s="64">
        <f t="shared" si="165"/>
        <v>0.97980769230769227</v>
      </c>
      <c r="AD294" s="64">
        <f t="shared" si="165"/>
        <v>0.76905660377358487</v>
      </c>
    </row>
    <row r="295" spans="1:37" ht="56.25" outlineLevel="2" x14ac:dyDescent="0.25">
      <c r="A295" s="236" t="s">
        <v>1136</v>
      </c>
      <c r="B295" s="79" t="s">
        <v>493</v>
      </c>
      <c r="C295" s="277" t="s">
        <v>494</v>
      </c>
      <c r="D295" s="244" t="s">
        <v>312</v>
      </c>
      <c r="E295" s="304">
        <v>29.6</v>
      </c>
      <c r="F295" s="304">
        <v>29</v>
      </c>
      <c r="G295" s="304">
        <v>29</v>
      </c>
      <c r="H295" s="257">
        <f t="shared" si="177"/>
        <v>1</v>
      </c>
      <c r="I295" s="257">
        <f t="shared" si="178"/>
        <v>0.97972972972972971</v>
      </c>
      <c r="J295" s="299" t="s">
        <v>41</v>
      </c>
      <c r="K295" s="299" t="s">
        <v>41</v>
      </c>
      <c r="L295" s="39" t="s">
        <v>147</v>
      </c>
      <c r="M295" s="40">
        <v>1</v>
      </c>
      <c r="N295" s="41">
        <f t="shared" si="179"/>
        <v>1</v>
      </c>
      <c r="O295" s="41">
        <f t="shared" si="180"/>
        <v>0.97972972972972971</v>
      </c>
      <c r="AC295" s="64">
        <f t="shared" si="165"/>
        <v>1</v>
      </c>
      <c r="AD295" s="64">
        <f t="shared" si="165"/>
        <v>0.97972972972972971</v>
      </c>
    </row>
    <row r="296" spans="1:37" ht="33.75" outlineLevel="2" x14ac:dyDescent="0.25">
      <c r="A296" s="236" t="s">
        <v>1137</v>
      </c>
      <c r="B296" s="79" t="s">
        <v>875</v>
      </c>
      <c r="C296" s="148" t="s">
        <v>314</v>
      </c>
      <c r="D296" s="244" t="s">
        <v>312</v>
      </c>
      <c r="E296" s="304">
        <v>178.6</v>
      </c>
      <c r="F296" s="304">
        <v>100</v>
      </c>
      <c r="G296" s="304">
        <v>127.8</v>
      </c>
      <c r="H296" s="257">
        <f t="shared" si="177"/>
        <v>1.278</v>
      </c>
      <c r="I296" s="257">
        <f t="shared" si="178"/>
        <v>0.71556550951847708</v>
      </c>
      <c r="J296" s="299" t="s">
        <v>41</v>
      </c>
      <c r="K296" s="299" t="s">
        <v>41</v>
      </c>
      <c r="L296" s="39" t="s">
        <v>147</v>
      </c>
      <c r="M296" s="40">
        <v>1</v>
      </c>
      <c r="N296" s="41">
        <f t="shared" si="179"/>
        <v>1</v>
      </c>
      <c r="O296" s="41">
        <f t="shared" si="180"/>
        <v>0.71556550951847708</v>
      </c>
      <c r="AC296" s="64">
        <f t="shared" si="165"/>
        <v>1.278</v>
      </c>
      <c r="AD296" s="64">
        <f t="shared" si="165"/>
        <v>0.71556550951847708</v>
      </c>
    </row>
    <row r="297" spans="1:37" ht="33.75" outlineLevel="2" x14ac:dyDescent="0.25">
      <c r="A297" s="236" t="s">
        <v>1138</v>
      </c>
      <c r="B297" s="79" t="s">
        <v>876</v>
      </c>
      <c r="C297" s="148" t="s">
        <v>314</v>
      </c>
      <c r="D297" s="244" t="s">
        <v>312</v>
      </c>
      <c r="E297" s="304">
        <v>11.2</v>
      </c>
      <c r="F297" s="304">
        <v>11</v>
      </c>
      <c r="G297" s="304">
        <v>11</v>
      </c>
      <c r="H297" s="257">
        <f t="shared" si="177"/>
        <v>1</v>
      </c>
      <c r="I297" s="257">
        <f t="shared" si="178"/>
        <v>0.98214285714285721</v>
      </c>
      <c r="J297" s="299" t="s">
        <v>41</v>
      </c>
      <c r="K297" s="299" t="s">
        <v>41</v>
      </c>
      <c r="L297" s="39" t="s">
        <v>147</v>
      </c>
      <c r="M297" s="40">
        <v>1</v>
      </c>
      <c r="N297" s="41">
        <f t="shared" si="179"/>
        <v>1</v>
      </c>
      <c r="O297" s="41">
        <f t="shared" si="180"/>
        <v>0.98214285714285721</v>
      </c>
      <c r="AC297" s="64">
        <f t="shared" si="165"/>
        <v>1</v>
      </c>
      <c r="AD297" s="64">
        <f t="shared" si="165"/>
        <v>0.98214285714285721</v>
      </c>
    </row>
    <row r="298" spans="1:37" ht="22.5" outlineLevel="2" x14ac:dyDescent="0.25">
      <c r="A298" s="236" t="s">
        <v>1139</v>
      </c>
      <c r="B298" s="79" t="s">
        <v>1306</v>
      </c>
      <c r="C298" s="148" t="s">
        <v>1307</v>
      </c>
      <c r="D298" s="251" t="s">
        <v>298</v>
      </c>
      <c r="E298" s="304">
        <v>282.17</v>
      </c>
      <c r="F298" s="304">
        <v>2447.62</v>
      </c>
      <c r="G298" s="304">
        <v>1239.53</v>
      </c>
      <c r="H298" s="257">
        <f>F298/G298</f>
        <v>1.974635547344558</v>
      </c>
      <c r="I298" s="257">
        <f>E298/G298</f>
        <v>0.22764273555299189</v>
      </c>
      <c r="J298" s="299" t="s">
        <v>41</v>
      </c>
      <c r="K298" s="299" t="s">
        <v>41</v>
      </c>
      <c r="L298" s="39" t="s">
        <v>147</v>
      </c>
      <c r="M298" s="40">
        <v>-1</v>
      </c>
      <c r="N298" s="41">
        <f t="shared" si="179"/>
        <v>1</v>
      </c>
      <c r="O298" s="41">
        <f t="shared" si="180"/>
        <v>0.22764273555299189</v>
      </c>
      <c r="AC298" s="64">
        <f t="shared" si="165"/>
        <v>1.974635547344558</v>
      </c>
      <c r="AD298" s="64">
        <f t="shared" si="165"/>
        <v>0.22764273555299189</v>
      </c>
    </row>
    <row r="299" spans="1:37" s="45" customFormat="1" outlineLevel="1" x14ac:dyDescent="0.25">
      <c r="A299" s="65" t="s">
        <v>473</v>
      </c>
      <c r="B299" s="621" t="s">
        <v>496</v>
      </c>
      <c r="C299" s="622"/>
      <c r="D299" s="622"/>
      <c r="E299" s="622"/>
      <c r="F299" s="622"/>
      <c r="G299" s="623"/>
      <c r="H299" s="66">
        <f>AVERAGE(N300:N305)</f>
        <v>0.69198823651003938</v>
      </c>
      <c r="I299" s="66">
        <f>AVERAGE(O300:O305)</f>
        <v>1.0096872405203432</v>
      </c>
      <c r="J299" s="67"/>
      <c r="K299" s="67"/>
      <c r="L299" s="68"/>
      <c r="M299" s="40"/>
      <c r="N299" s="41"/>
      <c r="O299" s="41"/>
      <c r="P299" s="47"/>
      <c r="Q299" s="47"/>
      <c r="R299" s="98">
        <f>COUNTA(C301:C305)</f>
        <v>5</v>
      </c>
      <c r="S299" s="97">
        <v>0</v>
      </c>
      <c r="T299" s="98">
        <f>COUNTIFS(AC301:AC305,"&gt;1,50")</f>
        <v>0</v>
      </c>
      <c r="U299" s="98">
        <f>COUNTIFS(AC301:AC305,"&gt;=0,995",AC301:AC305,"&lt;=1,5")</f>
        <v>4</v>
      </c>
      <c r="V299" s="98">
        <f>COUNTIFS(AC301:AC305,"&gt;=0,85",AC301:AC305,"&lt;0,995")</f>
        <v>0</v>
      </c>
      <c r="W299" s="98">
        <f>COUNTIFS(AC301:AC305,"&lt;0,85")</f>
        <v>1</v>
      </c>
      <c r="X299" s="50">
        <v>1</v>
      </c>
      <c r="Z299" s="90">
        <f>COUNTIFS(AD301:AD305,"&gt;=1,01")</f>
        <v>1</v>
      </c>
      <c r="AA299" s="90">
        <f>COUNTIFS(AD301:AD305,"&gt;=0,99",AD301:AD305,"&lt;1,01")</f>
        <v>1</v>
      </c>
      <c r="AB299" s="91">
        <f>COUNTIFS(AD301:AD305,"&lt;0,99")</f>
        <v>0</v>
      </c>
      <c r="AC299" s="64"/>
      <c r="AD299" s="64"/>
      <c r="AK299" s="45">
        <f>SUM(T299:X299)-R299</f>
        <v>1</v>
      </c>
    </row>
    <row r="300" spans="1:37" s="45" customFormat="1" ht="90" outlineLevel="1" x14ac:dyDescent="0.25">
      <c r="A300" s="236" t="s">
        <v>1142</v>
      </c>
      <c r="B300" s="79" t="s">
        <v>1793</v>
      </c>
      <c r="C300" s="148" t="s">
        <v>1794</v>
      </c>
      <c r="D300" s="244" t="s">
        <v>312</v>
      </c>
      <c r="E300" s="261" t="s">
        <v>41</v>
      </c>
      <c r="F300" s="261">
        <v>90</v>
      </c>
      <c r="G300" s="261">
        <v>0</v>
      </c>
      <c r="H300" s="257">
        <f t="shared" ref="H300" si="181">G300/F300</f>
        <v>0</v>
      </c>
      <c r="I300" s="257" t="s">
        <v>41</v>
      </c>
      <c r="J300" s="299" t="s">
        <v>1795</v>
      </c>
      <c r="K300" s="299" t="s">
        <v>1796</v>
      </c>
      <c r="L300" s="39" t="s">
        <v>147</v>
      </c>
      <c r="M300" s="40">
        <v>1</v>
      </c>
      <c r="N300" s="41">
        <f t="shared" ref="N300" si="182">IF(H300&gt;1,1,H300)</f>
        <v>0</v>
      </c>
      <c r="O300" s="41" t="s">
        <v>41</v>
      </c>
      <c r="P300" s="47"/>
      <c r="Q300" s="47"/>
      <c r="R300" s="353"/>
      <c r="S300" s="97"/>
      <c r="T300" s="353"/>
      <c r="U300" s="353"/>
      <c r="V300" s="353"/>
      <c r="W300" s="353"/>
      <c r="X300" s="50"/>
      <c r="Z300" s="354"/>
      <c r="AA300" s="354"/>
      <c r="AB300" s="354"/>
      <c r="AC300" s="64">
        <f t="shared" si="165"/>
        <v>0</v>
      </c>
      <c r="AD300" s="440"/>
    </row>
    <row r="301" spans="1:37" ht="45.75" customHeight="1" outlineLevel="2" x14ac:dyDescent="0.25">
      <c r="A301" s="236" t="s">
        <v>1142</v>
      </c>
      <c r="B301" s="79" t="s">
        <v>878</v>
      </c>
      <c r="C301" s="148" t="s">
        <v>497</v>
      </c>
      <c r="D301" s="244" t="s">
        <v>312</v>
      </c>
      <c r="E301" s="261">
        <v>161.69999999999999</v>
      </c>
      <c r="F301" s="261">
        <v>1064.31</v>
      </c>
      <c r="G301" s="261">
        <v>161.69999999999999</v>
      </c>
      <c r="H301" s="257">
        <f t="shared" ref="H301:H304" si="183">G301/F301</f>
        <v>0.15192941906023621</v>
      </c>
      <c r="I301" s="257">
        <f t="shared" ref="I301:I304" si="184">G301/E301</f>
        <v>1</v>
      </c>
      <c r="J301" s="299" t="s">
        <v>1308</v>
      </c>
      <c r="K301" s="444" t="s">
        <v>1797</v>
      </c>
      <c r="L301" s="39" t="s">
        <v>147</v>
      </c>
      <c r="M301" s="40">
        <v>1</v>
      </c>
      <c r="N301" s="41">
        <f t="shared" si="179"/>
        <v>0.15192941906023621</v>
      </c>
      <c r="O301" s="41">
        <f t="shared" si="180"/>
        <v>1</v>
      </c>
      <c r="AC301" s="64">
        <f t="shared" si="165"/>
        <v>0.15192941906023621</v>
      </c>
      <c r="AD301" s="64">
        <f t="shared" si="165"/>
        <v>1</v>
      </c>
    </row>
    <row r="302" spans="1:37" ht="45" outlineLevel="2" x14ac:dyDescent="0.25">
      <c r="A302" s="236" t="s">
        <v>475</v>
      </c>
      <c r="B302" s="79" t="s">
        <v>499</v>
      </c>
      <c r="C302" s="148" t="s">
        <v>497</v>
      </c>
      <c r="D302" s="244" t="s">
        <v>312</v>
      </c>
      <c r="E302" s="261">
        <v>36.130000000000003</v>
      </c>
      <c r="F302" s="261">
        <v>32.979999999999997</v>
      </c>
      <c r="G302" s="261">
        <v>36.83</v>
      </c>
      <c r="H302" s="257">
        <f t="shared" si="183"/>
        <v>1.116737416616131</v>
      </c>
      <c r="I302" s="257">
        <f t="shared" si="184"/>
        <v>1.0193744810406864</v>
      </c>
      <c r="J302" s="299" t="s">
        <v>1798</v>
      </c>
      <c r="K302" s="299"/>
      <c r="L302" s="39" t="s">
        <v>147</v>
      </c>
      <c r="M302" s="40">
        <v>1</v>
      </c>
      <c r="N302" s="41">
        <f t="shared" si="179"/>
        <v>1</v>
      </c>
      <c r="O302" s="41">
        <f t="shared" si="180"/>
        <v>1.0193744810406864</v>
      </c>
      <c r="AC302" s="64">
        <f t="shared" si="165"/>
        <v>1.116737416616131</v>
      </c>
      <c r="AD302" s="64">
        <f t="shared" si="165"/>
        <v>1.0193744810406864</v>
      </c>
    </row>
    <row r="303" spans="1:37" ht="49.5" customHeight="1" outlineLevel="2" x14ac:dyDescent="0.25">
      <c r="A303" s="236" t="s">
        <v>1418</v>
      </c>
      <c r="B303" s="79" t="s">
        <v>879</v>
      </c>
      <c r="C303" s="148" t="s">
        <v>334</v>
      </c>
      <c r="D303" s="260" t="s">
        <v>331</v>
      </c>
      <c r="E303" s="261">
        <v>18</v>
      </c>
      <c r="F303" s="261">
        <v>18</v>
      </c>
      <c r="G303" s="261">
        <v>18</v>
      </c>
      <c r="H303" s="257">
        <f t="shared" si="183"/>
        <v>1</v>
      </c>
      <c r="I303" s="257">
        <f t="shared" si="184"/>
        <v>1</v>
      </c>
      <c r="J303" s="299"/>
      <c r="K303" s="299"/>
      <c r="L303" s="39" t="s">
        <v>147</v>
      </c>
      <c r="M303" s="40">
        <v>0</v>
      </c>
      <c r="N303" s="41">
        <f t="shared" si="179"/>
        <v>1</v>
      </c>
      <c r="O303" s="41" t="s">
        <v>41</v>
      </c>
      <c r="AC303" s="64">
        <f t="shared" si="165"/>
        <v>1</v>
      </c>
      <c r="AD303" s="64" t="s">
        <v>41</v>
      </c>
    </row>
    <row r="304" spans="1:37" ht="45" outlineLevel="2" x14ac:dyDescent="0.25">
      <c r="A304" s="236" t="s">
        <v>1419</v>
      </c>
      <c r="B304" s="79" t="s">
        <v>880</v>
      </c>
      <c r="C304" s="148" t="s">
        <v>497</v>
      </c>
      <c r="D304" s="244" t="s">
        <v>312</v>
      </c>
      <c r="E304" s="255">
        <v>224.83</v>
      </c>
      <c r="F304" s="255">
        <v>200</v>
      </c>
      <c r="G304" s="261">
        <v>287</v>
      </c>
      <c r="H304" s="257">
        <f t="shared" si="183"/>
        <v>1.4350000000000001</v>
      </c>
      <c r="I304" s="257">
        <f t="shared" si="184"/>
        <v>1.2765200373615619</v>
      </c>
      <c r="J304" s="299" t="s">
        <v>1799</v>
      </c>
      <c r="K304" s="299"/>
      <c r="L304" s="39" t="s">
        <v>147</v>
      </c>
      <c r="M304" s="40">
        <v>1</v>
      </c>
      <c r="N304" s="41">
        <f t="shared" si="179"/>
        <v>1</v>
      </c>
      <c r="O304" s="41" t="s">
        <v>41</v>
      </c>
      <c r="AC304" s="64">
        <f t="shared" si="165"/>
        <v>1.4350000000000001</v>
      </c>
      <c r="AD304" s="64" t="s">
        <v>41</v>
      </c>
    </row>
    <row r="305" spans="1:37" ht="45" outlineLevel="2" x14ac:dyDescent="0.25">
      <c r="A305" s="236" t="s">
        <v>1420</v>
      </c>
      <c r="B305" s="79" t="s">
        <v>881</v>
      </c>
      <c r="C305" s="148" t="s">
        <v>882</v>
      </c>
      <c r="D305" s="244" t="s">
        <v>312</v>
      </c>
      <c r="E305" s="255">
        <v>7</v>
      </c>
      <c r="F305" s="255">
        <v>7.15</v>
      </c>
      <c r="G305" s="255">
        <v>9</v>
      </c>
      <c r="H305" s="257">
        <f t="shared" ref="H305" si="185">G305/F305</f>
        <v>1.2587412587412588</v>
      </c>
      <c r="I305" s="257">
        <f t="shared" ref="I305" si="186">G305/E305</f>
        <v>1.2857142857142858</v>
      </c>
      <c r="J305" s="299" t="s">
        <v>1800</v>
      </c>
      <c r="K305" s="299"/>
      <c r="L305" s="39" t="s">
        <v>147</v>
      </c>
      <c r="M305" s="40">
        <v>1</v>
      </c>
      <c r="N305" s="41">
        <f t="shared" ref="N305" si="187">IF(H305&gt;1,1,H305)</f>
        <v>1</v>
      </c>
      <c r="O305" s="41" t="s">
        <v>41</v>
      </c>
      <c r="AC305" s="64">
        <f t="shared" si="165"/>
        <v>1.2587412587412588</v>
      </c>
      <c r="AD305" s="64" t="s">
        <v>41</v>
      </c>
    </row>
    <row r="306" spans="1:37" s="45" customFormat="1" outlineLevel="1" x14ac:dyDescent="0.25">
      <c r="A306" s="65" t="s">
        <v>1421</v>
      </c>
      <c r="B306" s="619" t="s">
        <v>152</v>
      </c>
      <c r="C306" s="619"/>
      <c r="D306" s="619"/>
      <c r="E306" s="619"/>
      <c r="F306" s="619"/>
      <c r="G306" s="619"/>
      <c r="H306" s="66">
        <f>AVERAGE(N307:N314)</f>
        <v>0.8545454545454545</v>
      </c>
      <c r="I306" s="66">
        <f>AVERAGE(O307:O314)</f>
        <v>1.0175438596491226</v>
      </c>
      <c r="J306" s="67"/>
      <c r="K306" s="67"/>
      <c r="L306" s="68"/>
      <c r="M306" s="40"/>
      <c r="N306" s="41"/>
      <c r="O306" s="188"/>
      <c r="P306" s="47"/>
      <c r="Q306" s="47"/>
      <c r="R306" s="98">
        <f>COUNTA(C307:C314)</f>
        <v>8</v>
      </c>
      <c r="S306" s="97">
        <v>0</v>
      </c>
      <c r="T306" s="98">
        <f>COUNTIFS(AC307:AC314,"&gt;1,50")</f>
        <v>0</v>
      </c>
      <c r="U306" s="98">
        <f>COUNTIFS(AC307:AC314,"&gt;=0,995",AC307:AC314,"&lt;=1,5")</f>
        <v>6</v>
      </c>
      <c r="V306" s="98">
        <f>COUNTIFS(AC307:AC314,"&gt;=0,85",AC307:AC314,"&lt;0,995")</f>
        <v>0</v>
      </c>
      <c r="W306" s="98">
        <f>COUNTIFS(AC307:AC314,"&lt;0,85")</f>
        <v>2</v>
      </c>
      <c r="X306" s="50"/>
      <c r="Z306" s="90">
        <f>COUNTIFS(AD307:AD314,"&gt;=1,01")</f>
        <v>1</v>
      </c>
      <c r="AA306" s="90">
        <f>COUNTIFS(AD307:AD314,"&gt;=0,99",AD307:AD314,"&lt;1,01")</f>
        <v>2</v>
      </c>
      <c r="AB306" s="91">
        <f>COUNTIFS(AD307:AD314,"&lt;0,99")</f>
        <v>0</v>
      </c>
      <c r="AC306" s="64"/>
      <c r="AD306" s="64"/>
      <c r="AK306" s="45">
        <f>SUM(T306:X306)-R306</f>
        <v>0</v>
      </c>
    </row>
    <row r="307" spans="1:37" ht="33.75" outlineLevel="2" x14ac:dyDescent="0.25">
      <c r="A307" s="236" t="s">
        <v>1801</v>
      </c>
      <c r="B307" s="79" t="s">
        <v>1802</v>
      </c>
      <c r="C307" s="148" t="s">
        <v>334</v>
      </c>
      <c r="D307" s="381" t="s">
        <v>331</v>
      </c>
      <c r="E307" s="255" t="s">
        <v>41</v>
      </c>
      <c r="F307" s="255">
        <v>1</v>
      </c>
      <c r="G307" s="255">
        <v>0</v>
      </c>
      <c r="H307" s="257">
        <f t="shared" ref="H307" si="188">G307/F307</f>
        <v>0</v>
      </c>
      <c r="I307" s="257" t="s">
        <v>41</v>
      </c>
      <c r="J307" s="299" t="s">
        <v>1803</v>
      </c>
      <c r="K307" s="299" t="s">
        <v>41</v>
      </c>
      <c r="L307" s="39" t="s">
        <v>887</v>
      </c>
      <c r="M307" s="40">
        <v>0</v>
      </c>
      <c r="N307" s="41">
        <f t="shared" si="179"/>
        <v>0</v>
      </c>
      <c r="O307" s="41" t="s">
        <v>41</v>
      </c>
      <c r="AC307" s="64">
        <f t="shared" si="165"/>
        <v>0</v>
      </c>
      <c r="AD307" s="64" t="s">
        <v>41</v>
      </c>
    </row>
    <row r="308" spans="1:37" ht="78.75" outlineLevel="2" x14ac:dyDescent="0.25">
      <c r="A308" s="236" t="s">
        <v>1422</v>
      </c>
      <c r="B308" s="79" t="s">
        <v>883</v>
      </c>
      <c r="C308" s="148" t="s">
        <v>314</v>
      </c>
      <c r="D308" s="382" t="s">
        <v>1312</v>
      </c>
      <c r="E308" s="255">
        <v>7.6</v>
      </c>
      <c r="F308" s="255">
        <v>6.3</v>
      </c>
      <c r="G308" s="255">
        <v>8</v>
      </c>
      <c r="H308" s="257">
        <f t="shared" ref="H308:H314" si="189">G308/F308</f>
        <v>1.2698412698412698</v>
      </c>
      <c r="I308" s="257">
        <f t="shared" ref="I308:I314" si="190">G308/E308</f>
        <v>1.0526315789473684</v>
      </c>
      <c r="J308" s="299" t="s">
        <v>41</v>
      </c>
      <c r="K308" s="299" t="s">
        <v>41</v>
      </c>
      <c r="L308" s="39" t="s">
        <v>887</v>
      </c>
      <c r="M308" s="40">
        <v>0</v>
      </c>
      <c r="N308" s="41">
        <f t="shared" si="179"/>
        <v>1</v>
      </c>
      <c r="O308" s="41">
        <f t="shared" ref="O308:O325" si="191">IF(I308&gt;1.25,1.25,I308)</f>
        <v>1.0526315789473684</v>
      </c>
      <c r="AC308" s="64">
        <f t="shared" si="165"/>
        <v>1.2698412698412698</v>
      </c>
      <c r="AD308" s="64">
        <f t="shared" si="165"/>
        <v>1.0526315789473684</v>
      </c>
    </row>
    <row r="309" spans="1:37" ht="67.5" outlineLevel="2" x14ac:dyDescent="0.25">
      <c r="A309" s="236" t="s">
        <v>1423</v>
      </c>
      <c r="B309" s="79" t="s">
        <v>884</v>
      </c>
      <c r="C309" s="148" t="s">
        <v>314</v>
      </c>
      <c r="D309" s="383" t="s">
        <v>872</v>
      </c>
      <c r="E309" s="255">
        <v>100</v>
      </c>
      <c r="F309" s="255">
        <v>100</v>
      </c>
      <c r="G309" s="255">
        <v>100</v>
      </c>
      <c r="H309" s="257">
        <f t="shared" si="189"/>
        <v>1</v>
      </c>
      <c r="I309" s="257">
        <f t="shared" si="190"/>
        <v>1</v>
      </c>
      <c r="J309" s="299" t="s">
        <v>41</v>
      </c>
      <c r="K309" s="299" t="s">
        <v>41</v>
      </c>
      <c r="L309" s="39" t="s">
        <v>147</v>
      </c>
      <c r="M309" s="40">
        <v>1</v>
      </c>
      <c r="N309" s="41">
        <f t="shared" si="179"/>
        <v>1</v>
      </c>
      <c r="O309" s="41">
        <f t="shared" si="191"/>
        <v>1</v>
      </c>
      <c r="AC309" s="64">
        <f t="shared" si="165"/>
        <v>1</v>
      </c>
      <c r="AD309" s="64">
        <f t="shared" si="165"/>
        <v>1</v>
      </c>
    </row>
    <row r="310" spans="1:37" ht="45" outlineLevel="2" x14ac:dyDescent="0.25">
      <c r="A310" s="236" t="s">
        <v>1424</v>
      </c>
      <c r="B310" s="79" t="s">
        <v>885</v>
      </c>
      <c r="C310" s="148" t="s">
        <v>314</v>
      </c>
      <c r="D310" s="383" t="s">
        <v>1313</v>
      </c>
      <c r="E310" s="255">
        <v>13.8</v>
      </c>
      <c r="F310" s="255">
        <v>16.5</v>
      </c>
      <c r="G310" s="255">
        <v>13.8</v>
      </c>
      <c r="H310" s="257">
        <f t="shared" si="189"/>
        <v>0.83636363636363642</v>
      </c>
      <c r="I310" s="257">
        <f t="shared" si="190"/>
        <v>1</v>
      </c>
      <c r="J310" s="299" t="s">
        <v>1804</v>
      </c>
      <c r="K310" s="299" t="s">
        <v>1805</v>
      </c>
      <c r="L310" s="39" t="s">
        <v>147</v>
      </c>
      <c r="M310" s="40">
        <v>1</v>
      </c>
      <c r="N310" s="41">
        <f t="shared" si="179"/>
        <v>0.83636363636363642</v>
      </c>
      <c r="O310" s="41">
        <f t="shared" si="191"/>
        <v>1</v>
      </c>
      <c r="AC310" s="64">
        <f t="shared" si="165"/>
        <v>0.83636363636363642</v>
      </c>
      <c r="AD310" s="64">
        <f t="shared" si="165"/>
        <v>1</v>
      </c>
    </row>
    <row r="311" spans="1:37" ht="33.75" outlineLevel="2" x14ac:dyDescent="0.25">
      <c r="A311" s="236" t="s">
        <v>1425</v>
      </c>
      <c r="B311" s="79" t="s">
        <v>1309</v>
      </c>
      <c r="C311" s="148" t="s">
        <v>848</v>
      </c>
      <c r="D311" s="384" t="s">
        <v>331</v>
      </c>
      <c r="E311" s="255">
        <v>0</v>
      </c>
      <c r="F311" s="255">
        <v>2</v>
      </c>
      <c r="G311" s="255">
        <v>2</v>
      </c>
      <c r="H311" s="257">
        <f t="shared" si="189"/>
        <v>1</v>
      </c>
      <c r="I311" s="257" t="s">
        <v>41</v>
      </c>
      <c r="J311" s="299" t="s">
        <v>41</v>
      </c>
      <c r="K311" s="299" t="s">
        <v>41</v>
      </c>
      <c r="L311" s="39" t="s">
        <v>1314</v>
      </c>
      <c r="M311" s="40">
        <v>1</v>
      </c>
      <c r="N311" s="41">
        <f t="shared" si="179"/>
        <v>1</v>
      </c>
      <c r="O311" s="41" t="s">
        <v>41</v>
      </c>
      <c r="AC311" s="64">
        <f t="shared" si="165"/>
        <v>1</v>
      </c>
      <c r="AD311" s="64" t="str">
        <f t="shared" si="165"/>
        <v>-</v>
      </c>
    </row>
    <row r="312" spans="1:37" ht="45" outlineLevel="2" x14ac:dyDescent="0.25">
      <c r="A312" s="236" t="s">
        <v>1426</v>
      </c>
      <c r="B312" s="79" t="s">
        <v>1310</v>
      </c>
      <c r="C312" s="148" t="s">
        <v>1307</v>
      </c>
      <c r="D312" s="384" t="s">
        <v>331</v>
      </c>
      <c r="E312" s="255">
        <v>0</v>
      </c>
      <c r="F312" s="255">
        <v>44.84</v>
      </c>
      <c r="G312" s="255">
        <v>44.84</v>
      </c>
      <c r="H312" s="257">
        <f t="shared" si="189"/>
        <v>1</v>
      </c>
      <c r="I312" s="257" t="s">
        <v>41</v>
      </c>
      <c r="J312" s="299" t="s">
        <v>41</v>
      </c>
      <c r="K312" s="299" t="s">
        <v>41</v>
      </c>
      <c r="L312" s="39" t="s">
        <v>1314</v>
      </c>
      <c r="M312" s="40">
        <v>0</v>
      </c>
      <c r="N312" s="41">
        <f t="shared" ref="N312:N313" si="192">IF(H312&gt;1,1,H312)</f>
        <v>1</v>
      </c>
      <c r="O312" s="41" t="s">
        <v>41</v>
      </c>
      <c r="AC312" s="64">
        <f t="shared" si="165"/>
        <v>1</v>
      </c>
      <c r="AD312" s="64"/>
    </row>
    <row r="313" spans="1:37" ht="67.5" outlineLevel="2" x14ac:dyDescent="0.25">
      <c r="A313" s="236" t="s">
        <v>1427</v>
      </c>
      <c r="B313" s="79" t="s">
        <v>1311</v>
      </c>
      <c r="C313" s="148" t="s">
        <v>1158</v>
      </c>
      <c r="D313" s="384" t="s">
        <v>331</v>
      </c>
      <c r="E313" s="255">
        <v>0</v>
      </c>
      <c r="F313" s="255">
        <v>360.2</v>
      </c>
      <c r="G313" s="255">
        <v>360.2</v>
      </c>
      <c r="H313" s="257">
        <f t="shared" si="189"/>
        <v>1</v>
      </c>
      <c r="I313" s="257" t="s">
        <v>41</v>
      </c>
      <c r="J313" s="299" t="s">
        <v>41</v>
      </c>
      <c r="K313" s="299" t="s">
        <v>41</v>
      </c>
      <c r="L313" s="39" t="s">
        <v>147</v>
      </c>
      <c r="M313" s="40">
        <v>0</v>
      </c>
      <c r="N313" s="41">
        <f t="shared" si="192"/>
        <v>1</v>
      </c>
      <c r="O313" s="41" t="s">
        <v>41</v>
      </c>
      <c r="AC313" s="64">
        <f t="shared" si="165"/>
        <v>1</v>
      </c>
      <c r="AD313" s="64"/>
    </row>
    <row r="314" spans="1:37" ht="56.25" outlineLevel="2" x14ac:dyDescent="0.25">
      <c r="A314" s="236" t="s">
        <v>1428</v>
      </c>
      <c r="B314" s="79" t="s">
        <v>886</v>
      </c>
      <c r="C314" s="148" t="s">
        <v>334</v>
      </c>
      <c r="D314" s="381" t="s">
        <v>331</v>
      </c>
      <c r="E314" s="255">
        <v>238</v>
      </c>
      <c r="F314" s="255">
        <v>200</v>
      </c>
      <c r="G314" s="255">
        <v>200</v>
      </c>
      <c r="H314" s="257">
        <f t="shared" si="189"/>
        <v>1</v>
      </c>
      <c r="I314" s="257">
        <f t="shared" si="190"/>
        <v>0.84033613445378152</v>
      </c>
      <c r="J314" s="299" t="s">
        <v>41</v>
      </c>
      <c r="K314" s="299" t="s">
        <v>41</v>
      </c>
      <c r="L314" s="39" t="s">
        <v>887</v>
      </c>
      <c r="M314" s="40">
        <v>0</v>
      </c>
      <c r="N314" s="41">
        <f t="shared" si="179"/>
        <v>1</v>
      </c>
      <c r="O314" s="41" t="s">
        <v>41</v>
      </c>
      <c r="AC314" s="64">
        <f t="shared" si="165"/>
        <v>1</v>
      </c>
      <c r="AD314" s="64" t="s">
        <v>41</v>
      </c>
    </row>
    <row r="315" spans="1:37" s="45" customFormat="1" ht="29.25" customHeight="1" outlineLevel="1" x14ac:dyDescent="0.25">
      <c r="A315" s="65" t="s">
        <v>1429</v>
      </c>
      <c r="B315" s="619" t="s">
        <v>153</v>
      </c>
      <c r="C315" s="619"/>
      <c r="D315" s="619"/>
      <c r="E315" s="619"/>
      <c r="F315" s="619"/>
      <c r="G315" s="619"/>
      <c r="H315" s="66">
        <f>AVERAGE(N316:N318)</f>
        <v>1</v>
      </c>
      <c r="I315" s="66">
        <f>AVERAGE(O316:O318)</f>
        <v>1.0039407528196767</v>
      </c>
      <c r="J315" s="67"/>
      <c r="K315" s="67"/>
      <c r="L315" s="155"/>
      <c r="M315" s="40"/>
      <c r="N315" s="41"/>
      <c r="O315" s="188"/>
      <c r="P315" s="47"/>
      <c r="Q315" s="47"/>
      <c r="R315" s="98">
        <f>COUNTA(C316:C318)</f>
        <v>3</v>
      </c>
      <c r="S315" s="97">
        <v>0</v>
      </c>
      <c r="T315" s="98">
        <f>COUNTIFS(AC316:AC318,"&gt;1,50")</f>
        <v>0</v>
      </c>
      <c r="U315" s="98">
        <f>COUNTIFS(AC316:AC318,"&gt;=0,995",AC316:AC318,"&lt;=1,5")</f>
        <v>3</v>
      </c>
      <c r="V315" s="98">
        <f>COUNTIFS(AC316:AC318,"&gt;=0,85",AC316:AC318,"&lt;0,995")</f>
        <v>0</v>
      </c>
      <c r="W315" s="98">
        <f>COUNTIFS(AC316:AC318,"&lt;0,85")</f>
        <v>0</v>
      </c>
      <c r="X315" s="50"/>
      <c r="Z315" s="90">
        <f>COUNTIFS(AD316:AD318,"&gt;=1,01")</f>
        <v>0</v>
      </c>
      <c r="AA315" s="90">
        <f>COUNTIFS(AD316:AD318,"&gt;=0,99",AD316:AD318,"&lt;1,01")</f>
        <v>3</v>
      </c>
      <c r="AB315" s="91">
        <f>COUNTIFS(AD316:AD318,"&lt;0,99")</f>
        <v>0</v>
      </c>
      <c r="AC315" s="64"/>
      <c r="AD315" s="64"/>
      <c r="AK315" s="45">
        <f>SUM(T315:X315)-R315</f>
        <v>0</v>
      </c>
    </row>
    <row r="316" spans="1:37" ht="78.75" outlineLevel="2" x14ac:dyDescent="0.25">
      <c r="A316" s="236" t="s">
        <v>1430</v>
      </c>
      <c r="B316" s="79" t="s">
        <v>502</v>
      </c>
      <c r="C316" s="148" t="s">
        <v>314</v>
      </c>
      <c r="D316" s="244" t="s">
        <v>312</v>
      </c>
      <c r="E316" s="255">
        <v>89</v>
      </c>
      <c r="F316" s="255">
        <v>62.7</v>
      </c>
      <c r="G316" s="255">
        <v>89</v>
      </c>
      <c r="H316" s="257">
        <f>G316/F316</f>
        <v>1.4194577352472089</v>
      </c>
      <c r="I316" s="257">
        <f>G316/E316</f>
        <v>1</v>
      </c>
      <c r="J316" s="127" t="s">
        <v>41</v>
      </c>
      <c r="K316" s="153" t="s">
        <v>41</v>
      </c>
      <c r="L316" s="39" t="s">
        <v>147</v>
      </c>
      <c r="M316" s="40">
        <v>1</v>
      </c>
      <c r="N316" s="41">
        <f t="shared" si="179"/>
        <v>1</v>
      </c>
      <c r="O316" s="41">
        <f t="shared" si="191"/>
        <v>1</v>
      </c>
      <c r="AC316" s="64">
        <f t="shared" si="165"/>
        <v>1.4194577352472089</v>
      </c>
      <c r="AD316" s="64">
        <f t="shared" si="165"/>
        <v>1</v>
      </c>
    </row>
    <row r="317" spans="1:37" ht="78.75" outlineLevel="2" x14ac:dyDescent="0.25">
      <c r="A317" s="236" t="s">
        <v>1431</v>
      </c>
      <c r="B317" s="79" t="s">
        <v>503</v>
      </c>
      <c r="C317" s="148" t="s">
        <v>314</v>
      </c>
      <c r="D317" s="244" t="s">
        <v>312</v>
      </c>
      <c r="E317" s="255">
        <v>98.12</v>
      </c>
      <c r="F317" s="255">
        <v>98</v>
      </c>
      <c r="G317" s="255">
        <v>98.7</v>
      </c>
      <c r="H317" s="257">
        <f>G317/F317</f>
        <v>1.0071428571428571</v>
      </c>
      <c r="I317" s="257">
        <f>G317/E317</f>
        <v>1.0059111292295149</v>
      </c>
      <c r="J317" s="373" t="s">
        <v>41</v>
      </c>
      <c r="K317" s="153" t="s">
        <v>41</v>
      </c>
      <c r="L317" s="39" t="s">
        <v>147</v>
      </c>
      <c r="M317" s="40">
        <v>1</v>
      </c>
      <c r="N317" s="41">
        <f t="shared" ref="N317" si="193">IF(H317&gt;1,1,H317)</f>
        <v>1</v>
      </c>
      <c r="O317" s="41">
        <f t="shared" ref="O317:O318" si="194">IF(I317&gt;1.25,1.25,I317)</f>
        <v>1.0059111292295149</v>
      </c>
      <c r="AC317" s="64">
        <f t="shared" si="165"/>
        <v>1.0071428571428571</v>
      </c>
      <c r="AD317" s="64">
        <f t="shared" si="165"/>
        <v>1.0059111292295149</v>
      </c>
    </row>
    <row r="318" spans="1:37" ht="78.75" outlineLevel="2" x14ac:dyDescent="0.25">
      <c r="A318" s="236" t="s">
        <v>1432</v>
      </c>
      <c r="B318" s="79" t="s">
        <v>1315</v>
      </c>
      <c r="C318" s="148" t="s">
        <v>314</v>
      </c>
      <c r="D318" s="244" t="s">
        <v>312</v>
      </c>
      <c r="E318" s="255">
        <v>98.12</v>
      </c>
      <c r="F318" s="255">
        <v>98</v>
      </c>
      <c r="G318" s="255">
        <v>98.7</v>
      </c>
      <c r="H318" s="257">
        <f>G318/F318</f>
        <v>1.0071428571428571</v>
      </c>
      <c r="I318" s="257">
        <f>G318/E318</f>
        <v>1.0059111292295149</v>
      </c>
      <c r="J318" s="127" t="s">
        <v>41</v>
      </c>
      <c r="K318" s="153" t="s">
        <v>41</v>
      </c>
      <c r="L318" s="39" t="s">
        <v>147</v>
      </c>
      <c r="M318" s="40">
        <v>1</v>
      </c>
      <c r="N318" s="41">
        <f t="shared" si="179"/>
        <v>1</v>
      </c>
      <c r="O318" s="41">
        <f t="shared" si="194"/>
        <v>1.0059111292295149</v>
      </c>
      <c r="AC318" s="64">
        <f t="shared" si="165"/>
        <v>1.0071428571428571</v>
      </c>
      <c r="AD318" s="64">
        <f t="shared" si="165"/>
        <v>1.0059111292295149</v>
      </c>
    </row>
    <row r="319" spans="1:37" s="45" customFormat="1" ht="23.25" customHeight="1" x14ac:dyDescent="0.25">
      <c r="A319" s="475" t="s">
        <v>268</v>
      </c>
      <c r="B319" s="620" t="s">
        <v>888</v>
      </c>
      <c r="C319" s="620"/>
      <c r="D319" s="620"/>
      <c r="E319" s="620"/>
      <c r="F319" s="620"/>
      <c r="G319" s="620"/>
      <c r="H319" s="476">
        <f>AVERAGE(N320:N322,N324:N328,N330:N337,N339:N346,N348:N349)</f>
        <v>0.93782062754386541</v>
      </c>
      <c r="I319" s="476">
        <f>AVERAGE(O320:O322,O324:O349)</f>
        <v>0.98890264998738886</v>
      </c>
      <c r="J319" s="403"/>
      <c r="K319" s="403"/>
      <c r="L319" s="477"/>
      <c r="M319" s="40"/>
      <c r="N319" s="41"/>
      <c r="O319" s="41"/>
      <c r="P319" s="47"/>
      <c r="Q319" s="47"/>
      <c r="R319" s="104">
        <f>COUNTA(C320:C349)</f>
        <v>26</v>
      </c>
      <c r="S319" s="96">
        <f>R319-T319-U319-V319-W319</f>
        <v>1</v>
      </c>
      <c r="T319" s="104">
        <f>COUNTIFS(AC320:AC349,"&gt;1,50")</f>
        <v>3</v>
      </c>
      <c r="U319" s="104">
        <f>COUNTIFS(AC320:AC349,"&gt;=0,995",AC320:AC349,"&lt;=1,5")</f>
        <v>16</v>
      </c>
      <c r="V319" s="104">
        <f>COUNTIFS(AC320:AC349,"&gt;=0,85",AC320:AC349,"&lt;0,995")</f>
        <v>4</v>
      </c>
      <c r="W319" s="104">
        <f>COUNTIFS(AC320:AC349,"&lt;0,85")</f>
        <v>2</v>
      </c>
      <c r="X319" s="47"/>
      <c r="Z319" s="94">
        <f>COUNTIFS(AD320:AD349,"&gt;=1,01")</f>
        <v>2</v>
      </c>
      <c r="AA319" s="94">
        <f>COUNTIFS(AD320:AD349,"&gt;=0,99",AD320:AD349,"&lt;1,01")</f>
        <v>5</v>
      </c>
      <c r="AB319" s="95">
        <f>COUNTIFS(AD320:AD349,"&lt;0,99")</f>
        <v>5</v>
      </c>
      <c r="AC319" s="64"/>
      <c r="AD319" s="64"/>
      <c r="AK319" s="45">
        <f>SUM(T319:X319)-R319</f>
        <v>-1</v>
      </c>
    </row>
    <row r="320" spans="1:37" ht="54" customHeight="1" outlineLevel="2" x14ac:dyDescent="0.25">
      <c r="A320" s="236" t="s">
        <v>477</v>
      </c>
      <c r="B320" s="149" t="s">
        <v>1723</v>
      </c>
      <c r="C320" s="130" t="s">
        <v>314</v>
      </c>
      <c r="D320" s="244" t="s">
        <v>312</v>
      </c>
      <c r="E320" s="297">
        <v>105.7</v>
      </c>
      <c r="F320" s="297">
        <v>100.3</v>
      </c>
      <c r="G320" s="297">
        <v>94.6</v>
      </c>
      <c r="H320" s="306">
        <f>G320/F320</f>
        <v>0.94317048853439678</v>
      </c>
      <c r="I320" s="306">
        <f>G320/E320</f>
        <v>0.89498580889309354</v>
      </c>
      <c r="J320" s="429" t="s">
        <v>1700</v>
      </c>
      <c r="K320" s="429"/>
      <c r="L320" s="39" t="s">
        <v>147</v>
      </c>
      <c r="M320" s="40">
        <v>1</v>
      </c>
      <c r="N320" s="41" t="s">
        <v>41</v>
      </c>
      <c r="O320" s="41" t="s">
        <v>41</v>
      </c>
      <c r="AC320" s="64" t="s">
        <v>41</v>
      </c>
      <c r="AD320" s="64" t="s">
        <v>41</v>
      </c>
    </row>
    <row r="321" spans="1:37" ht="45" outlineLevel="2" x14ac:dyDescent="0.25">
      <c r="A321" s="236" t="s">
        <v>478</v>
      </c>
      <c r="B321" s="79" t="s">
        <v>889</v>
      </c>
      <c r="C321" s="130" t="s">
        <v>1215</v>
      </c>
      <c r="D321" s="244" t="s">
        <v>312</v>
      </c>
      <c r="E321" s="297">
        <v>101.9</v>
      </c>
      <c r="F321" s="297">
        <v>110.2</v>
      </c>
      <c r="G321" s="297">
        <v>101.3</v>
      </c>
      <c r="H321" s="306">
        <f>G321/F321</f>
        <v>0.91923774954627946</v>
      </c>
      <c r="I321" s="306">
        <f>G321/E321</f>
        <v>0.99411187438665349</v>
      </c>
      <c r="J321" s="429" t="s">
        <v>1148</v>
      </c>
      <c r="K321" s="429" t="s">
        <v>1701</v>
      </c>
      <c r="L321" s="39" t="s">
        <v>147</v>
      </c>
      <c r="M321" s="40">
        <v>1</v>
      </c>
      <c r="N321" s="41">
        <f t="shared" si="179"/>
        <v>0.91923774954627946</v>
      </c>
      <c r="O321" s="41">
        <f t="shared" si="191"/>
        <v>0.99411187438665349</v>
      </c>
      <c r="AC321" s="64">
        <f t="shared" si="165"/>
        <v>0.91923774954627946</v>
      </c>
      <c r="AD321" s="64">
        <f t="shared" si="165"/>
        <v>0.99411187438665349</v>
      </c>
    </row>
    <row r="322" spans="1:37" ht="45" outlineLevel="2" x14ac:dyDescent="0.25">
      <c r="A322" s="236" t="s">
        <v>479</v>
      </c>
      <c r="B322" s="79" t="s">
        <v>507</v>
      </c>
      <c r="C322" s="130" t="s">
        <v>334</v>
      </c>
      <c r="D322" s="251" t="s">
        <v>298</v>
      </c>
      <c r="E322" s="297">
        <v>0</v>
      </c>
      <c r="F322" s="297">
        <v>0</v>
      </c>
      <c r="G322" s="297">
        <v>0</v>
      </c>
      <c r="H322" s="306">
        <v>1</v>
      </c>
      <c r="I322" s="306">
        <v>1</v>
      </c>
      <c r="J322" s="429" t="s">
        <v>41</v>
      </c>
      <c r="K322" s="429" t="s">
        <v>41</v>
      </c>
      <c r="L322" s="75" t="s">
        <v>508</v>
      </c>
      <c r="M322" s="40">
        <v>-1</v>
      </c>
      <c r="N322" s="41">
        <f t="shared" si="179"/>
        <v>1</v>
      </c>
      <c r="O322" s="41">
        <f t="shared" si="191"/>
        <v>1</v>
      </c>
      <c r="AC322" s="64">
        <f t="shared" si="165"/>
        <v>1</v>
      </c>
      <c r="AD322" s="64">
        <f t="shared" si="165"/>
        <v>1</v>
      </c>
    </row>
    <row r="323" spans="1:37" s="45" customFormat="1" outlineLevel="1" x14ac:dyDescent="0.25">
      <c r="A323" s="65" t="s">
        <v>148</v>
      </c>
      <c r="B323" s="619" t="s">
        <v>510</v>
      </c>
      <c r="C323" s="619"/>
      <c r="D323" s="619"/>
      <c r="E323" s="619"/>
      <c r="F323" s="619"/>
      <c r="G323" s="619"/>
      <c r="H323" s="66">
        <f>AVERAGE(N324:N328)</f>
        <v>0.97358818050969442</v>
      </c>
      <c r="I323" s="66">
        <f>AVERAGE(O324:O328)</f>
        <v>0.9239593314170127</v>
      </c>
      <c r="J323" s="67"/>
      <c r="K323" s="67"/>
      <c r="L323" s="68"/>
      <c r="M323" s="61"/>
      <c r="N323" s="41"/>
      <c r="O323" s="41"/>
      <c r="P323" s="47"/>
      <c r="Q323" s="47"/>
      <c r="R323" s="98">
        <f>COUNTA(C324:C328)</f>
        <v>5</v>
      </c>
      <c r="S323" s="97">
        <v>0</v>
      </c>
      <c r="T323" s="98">
        <f>COUNTIFS(AC324:AC328,"&gt;1,50")</f>
        <v>0</v>
      </c>
      <c r="U323" s="98">
        <f>COUNTIFS(AC324:AC328,"&gt;=0,995",AC324:AC328,"&lt;=1,5")</f>
        <v>3</v>
      </c>
      <c r="V323" s="98">
        <f>COUNTIFS(AC324:AC328,"&gt;=0,85",AC324:AC328,"&lt;0,995")</f>
        <v>2</v>
      </c>
      <c r="W323" s="98">
        <f>COUNTIFS(AC324:AC328,"&lt;0,85")</f>
        <v>0</v>
      </c>
      <c r="X323" s="50">
        <v>0</v>
      </c>
      <c r="Z323" s="90">
        <f>COUNTIFS(AD324:AD328,"&gt;=1,01")</f>
        <v>0</v>
      </c>
      <c r="AA323" s="90">
        <f>COUNTIFS(AD324:AD328,"&gt;=0,99",AD324:AD328,"&lt;1,01")</f>
        <v>0</v>
      </c>
      <c r="AB323" s="91">
        <f>COUNTIFS(AD324:AD328,"&lt;0,99")</f>
        <v>2</v>
      </c>
      <c r="AC323" s="64"/>
      <c r="AD323" s="64"/>
      <c r="AK323" s="45">
        <f>SUM(T323:X323)-R323</f>
        <v>0</v>
      </c>
    </row>
    <row r="324" spans="1:37" ht="88.5" customHeight="1" outlineLevel="2" x14ac:dyDescent="0.25">
      <c r="A324" s="236" t="s">
        <v>483</v>
      </c>
      <c r="B324" s="307" t="s">
        <v>1216</v>
      </c>
      <c r="C324" s="130" t="s">
        <v>514</v>
      </c>
      <c r="D324" s="244" t="s">
        <v>312</v>
      </c>
      <c r="E324" s="297">
        <v>20.2</v>
      </c>
      <c r="F324" s="297">
        <v>15.5</v>
      </c>
      <c r="G324" s="297">
        <v>19.3</v>
      </c>
      <c r="H324" s="306">
        <f>G324/F324</f>
        <v>1.2451612903225806</v>
      </c>
      <c r="I324" s="306">
        <f>G324/E324</f>
        <v>0.95544554455445552</v>
      </c>
      <c r="J324" s="429" t="s">
        <v>1702</v>
      </c>
      <c r="K324" s="429" t="s">
        <v>41</v>
      </c>
      <c r="L324" s="39" t="s">
        <v>147</v>
      </c>
      <c r="M324" s="40">
        <v>1</v>
      </c>
      <c r="N324" s="41">
        <f t="shared" si="179"/>
        <v>1</v>
      </c>
      <c r="O324" s="41">
        <f t="shared" si="191"/>
        <v>0.95544554455445552</v>
      </c>
      <c r="AC324" s="64">
        <f t="shared" si="165"/>
        <v>1.2451612903225806</v>
      </c>
      <c r="AD324" s="64">
        <f t="shared" si="165"/>
        <v>0.95544554455445552</v>
      </c>
    </row>
    <row r="325" spans="1:37" ht="74.25" customHeight="1" outlineLevel="2" x14ac:dyDescent="0.25">
      <c r="A325" s="236" t="s">
        <v>485</v>
      </c>
      <c r="B325" s="307" t="s">
        <v>512</v>
      </c>
      <c r="C325" s="130" t="s">
        <v>314</v>
      </c>
      <c r="D325" s="251" t="s">
        <v>298</v>
      </c>
      <c r="E325" s="297">
        <v>49.8</v>
      </c>
      <c r="F325" s="297">
        <v>49.2</v>
      </c>
      <c r="G325" s="297">
        <v>55.8</v>
      </c>
      <c r="H325" s="306">
        <f>F325/G325</f>
        <v>0.88172043010752699</v>
      </c>
      <c r="I325" s="306">
        <f>E325/G325</f>
        <v>0.89247311827956988</v>
      </c>
      <c r="J325" s="62" t="s">
        <v>1703</v>
      </c>
      <c r="K325" s="429" t="s">
        <v>41</v>
      </c>
      <c r="L325" s="39" t="s">
        <v>147</v>
      </c>
      <c r="M325" s="40">
        <v>-1</v>
      </c>
      <c r="N325" s="41">
        <f t="shared" si="179"/>
        <v>0.88172043010752699</v>
      </c>
      <c r="O325" s="41">
        <f t="shared" si="191"/>
        <v>0.89247311827956988</v>
      </c>
      <c r="AC325" s="64">
        <f t="shared" si="165"/>
        <v>0.88172043010752699</v>
      </c>
      <c r="AD325" s="64">
        <f t="shared" si="165"/>
        <v>0.89247311827956988</v>
      </c>
    </row>
    <row r="326" spans="1:37" ht="78" customHeight="1" outlineLevel="2" x14ac:dyDescent="0.25">
      <c r="A326" s="236" t="s">
        <v>1304</v>
      </c>
      <c r="B326" s="307" t="s">
        <v>515</v>
      </c>
      <c r="C326" s="130" t="s">
        <v>516</v>
      </c>
      <c r="D326" s="260" t="s">
        <v>331</v>
      </c>
      <c r="E326" s="297">
        <v>1.3</v>
      </c>
      <c r="F326" s="297">
        <v>1.1000000000000001</v>
      </c>
      <c r="G326" s="297">
        <v>1.2</v>
      </c>
      <c r="H326" s="306">
        <f>G326/F326</f>
        <v>1.0909090909090908</v>
      </c>
      <c r="I326" s="306">
        <f>G326/E326</f>
        <v>0.92307692307692302</v>
      </c>
      <c r="J326" s="429" t="s">
        <v>41</v>
      </c>
      <c r="K326" s="429" t="s">
        <v>41</v>
      </c>
      <c r="L326" s="39" t="s">
        <v>147</v>
      </c>
      <c r="M326" s="40">
        <v>0</v>
      </c>
      <c r="N326" s="41">
        <f t="shared" si="179"/>
        <v>1</v>
      </c>
      <c r="O326" s="41" t="s">
        <v>41</v>
      </c>
      <c r="AC326" s="64">
        <f t="shared" si="165"/>
        <v>1.0909090909090908</v>
      </c>
      <c r="AD326" s="64" t="s">
        <v>41</v>
      </c>
    </row>
    <row r="327" spans="1:37" ht="109.5" customHeight="1" outlineLevel="2" x14ac:dyDescent="0.25">
      <c r="A327" s="236" t="s">
        <v>1433</v>
      </c>
      <c r="B327" s="307" t="s">
        <v>1217</v>
      </c>
      <c r="C327" s="130" t="s">
        <v>353</v>
      </c>
      <c r="D327" s="260" t="s">
        <v>331</v>
      </c>
      <c r="E327" s="297">
        <v>1</v>
      </c>
      <c r="F327" s="297">
        <v>1</v>
      </c>
      <c r="G327" s="297">
        <v>1</v>
      </c>
      <c r="H327" s="306">
        <f>G327/F327</f>
        <v>1</v>
      </c>
      <c r="I327" s="306">
        <f>G327/E327</f>
        <v>1</v>
      </c>
      <c r="J327" s="429" t="s">
        <v>41</v>
      </c>
      <c r="K327" s="429" t="s">
        <v>41</v>
      </c>
      <c r="L327" s="39" t="s">
        <v>1220</v>
      </c>
      <c r="M327" s="40">
        <v>0</v>
      </c>
      <c r="N327" s="41">
        <f t="shared" si="179"/>
        <v>1</v>
      </c>
      <c r="O327" s="41" t="s">
        <v>41</v>
      </c>
      <c r="AC327" s="64">
        <f t="shared" si="165"/>
        <v>1</v>
      </c>
      <c r="AD327" s="64" t="s">
        <v>41</v>
      </c>
    </row>
    <row r="328" spans="1:37" ht="45" outlineLevel="2" x14ac:dyDescent="0.25">
      <c r="A328" s="236" t="s">
        <v>1434</v>
      </c>
      <c r="B328" s="307" t="s">
        <v>1218</v>
      </c>
      <c r="C328" s="130" t="s">
        <v>518</v>
      </c>
      <c r="D328" s="260" t="s">
        <v>331</v>
      </c>
      <c r="E328" s="297">
        <v>51.3</v>
      </c>
      <c r="F328" s="297">
        <v>50.8</v>
      </c>
      <c r="G328" s="297">
        <v>50.1</v>
      </c>
      <c r="H328" s="306">
        <f>G328/F328</f>
        <v>0.98622047244094502</v>
      </c>
      <c r="I328" s="306">
        <f>G328/E328</f>
        <v>0.97660818713450304</v>
      </c>
      <c r="J328" s="429" t="s">
        <v>1704</v>
      </c>
      <c r="K328" s="429" t="s">
        <v>41</v>
      </c>
      <c r="L328" s="39" t="s">
        <v>147</v>
      </c>
      <c r="M328" s="40">
        <v>0</v>
      </c>
      <c r="N328" s="41">
        <f t="shared" si="179"/>
        <v>0.98622047244094502</v>
      </c>
      <c r="O328" s="41" t="s">
        <v>41</v>
      </c>
      <c r="AC328" s="64">
        <f t="shared" si="165"/>
        <v>0.98622047244094502</v>
      </c>
      <c r="AD328" s="64" t="s">
        <v>41</v>
      </c>
    </row>
    <row r="329" spans="1:37" s="45" customFormat="1" ht="22.5" customHeight="1" outlineLevel="1" x14ac:dyDescent="0.25">
      <c r="A329" s="65" t="s">
        <v>149</v>
      </c>
      <c r="B329" s="619" t="s">
        <v>1009</v>
      </c>
      <c r="C329" s="619"/>
      <c r="D329" s="619"/>
      <c r="E329" s="619"/>
      <c r="F329" s="619"/>
      <c r="G329" s="619"/>
      <c r="H329" s="66">
        <f>AVERAGE(N330:N337)</f>
        <v>1</v>
      </c>
      <c r="I329" s="66">
        <f>AVERAGE(O330:O337)</f>
        <v>0.81359099981854466</v>
      </c>
      <c r="J329" s="67"/>
      <c r="K329" s="67"/>
      <c r="L329" s="68"/>
      <c r="M329" s="61"/>
      <c r="N329" s="188"/>
      <c r="O329" s="188"/>
      <c r="P329" s="47"/>
      <c r="Q329" s="47"/>
      <c r="R329" s="98">
        <f>COUNTA(C330:C337)</f>
        <v>8</v>
      </c>
      <c r="S329" s="97">
        <v>0</v>
      </c>
      <c r="T329" s="98">
        <f>COUNTIFS(AC330:AC337,"&gt;1,50")</f>
        <v>2</v>
      </c>
      <c r="U329" s="98">
        <f>COUNTIFS(AC330:AC337,"&gt;=0,995",AC330:AC337,"&lt;=1,5")</f>
        <v>6</v>
      </c>
      <c r="V329" s="98">
        <f>COUNTIFS(AC330:AC337,"&gt;=0,85",AC330:AC337,"&lt;0,995")</f>
        <v>0</v>
      </c>
      <c r="W329" s="98">
        <f>COUNTIFS(AC330:AC337,"&lt;0,85")</f>
        <v>0</v>
      </c>
      <c r="X329" s="50"/>
      <c r="Z329" s="90">
        <f>COUNTIFS(AD330:AD337,"&gt;=1,01")</f>
        <v>0</v>
      </c>
      <c r="AA329" s="90">
        <f>COUNTIFS(AD330:AD337,"&gt;=0,99",AD330:AD337,"&lt;1,01")</f>
        <v>0</v>
      </c>
      <c r="AB329" s="91">
        <f>COUNTIFS(AD330:AD337,"&lt;0,99")</f>
        <v>2</v>
      </c>
      <c r="AC329" s="64"/>
      <c r="AD329" s="64"/>
      <c r="AK329" s="45">
        <f>SUM(T329:X329)-R329</f>
        <v>0</v>
      </c>
    </row>
    <row r="330" spans="1:37" ht="52.5" customHeight="1" outlineLevel="2" x14ac:dyDescent="0.25">
      <c r="A330" s="236" t="s">
        <v>488</v>
      </c>
      <c r="B330" s="154" t="s">
        <v>509</v>
      </c>
      <c r="C330" s="127" t="s">
        <v>514</v>
      </c>
      <c r="D330" s="244" t="s">
        <v>312</v>
      </c>
      <c r="E330" s="153">
        <v>83.5</v>
      </c>
      <c r="F330" s="153">
        <v>52.6</v>
      </c>
      <c r="G330" s="153">
        <v>54.9</v>
      </c>
      <c r="H330" s="306">
        <f t="shared" ref="H330:H337" si="195">G330/F330*100%</f>
        <v>1.0437262357414447</v>
      </c>
      <c r="I330" s="306">
        <f t="shared" ref="I330:I337" si="196">G330/E330*100%</f>
        <v>0.6574850299401197</v>
      </c>
      <c r="J330" s="429" t="s">
        <v>1705</v>
      </c>
      <c r="K330" s="429" t="s">
        <v>41</v>
      </c>
      <c r="L330" s="39" t="s">
        <v>147</v>
      </c>
      <c r="M330" s="40">
        <v>1</v>
      </c>
      <c r="N330" s="41">
        <f t="shared" ref="N330:N337" si="197">IF(H330&gt;1,1,H330)</f>
        <v>1</v>
      </c>
      <c r="O330" s="41">
        <f t="shared" ref="O330" si="198">IF(I330&gt;1.25,1.25,I330)</f>
        <v>0.6574850299401197</v>
      </c>
      <c r="AC330" s="64">
        <f t="shared" si="165"/>
        <v>1.0437262357414447</v>
      </c>
      <c r="AD330" s="64">
        <f t="shared" si="165"/>
        <v>0.6574850299401197</v>
      </c>
    </row>
    <row r="331" spans="1:37" ht="45" outlineLevel="2" x14ac:dyDescent="0.25">
      <c r="A331" s="236" t="s">
        <v>490</v>
      </c>
      <c r="B331" s="154" t="s">
        <v>891</v>
      </c>
      <c r="C331" s="127" t="s">
        <v>497</v>
      </c>
      <c r="D331" s="157" t="s">
        <v>331</v>
      </c>
      <c r="E331" s="153">
        <v>32.299999999999997</v>
      </c>
      <c r="F331" s="153">
        <v>30.3</v>
      </c>
      <c r="G331" s="153">
        <v>30.3</v>
      </c>
      <c r="H331" s="306">
        <f t="shared" si="195"/>
        <v>1</v>
      </c>
      <c r="I331" s="306">
        <f t="shared" si="196"/>
        <v>0.93808049535603721</v>
      </c>
      <c r="J331" s="429" t="s">
        <v>1710</v>
      </c>
      <c r="K331" s="429" t="s">
        <v>41</v>
      </c>
      <c r="L331" s="39" t="s">
        <v>147</v>
      </c>
      <c r="M331" s="40">
        <v>0</v>
      </c>
      <c r="N331" s="41">
        <f t="shared" si="197"/>
        <v>1</v>
      </c>
      <c r="O331" s="41" t="s">
        <v>41</v>
      </c>
      <c r="AC331" s="64">
        <f t="shared" ref="AC331:AC393" si="199">H331</f>
        <v>1</v>
      </c>
      <c r="AD331" s="64" t="s">
        <v>41</v>
      </c>
    </row>
    <row r="332" spans="1:37" ht="33.75" outlineLevel="2" x14ac:dyDescent="0.25">
      <c r="A332" s="236" t="s">
        <v>492</v>
      </c>
      <c r="B332" s="154" t="s">
        <v>533</v>
      </c>
      <c r="C332" s="62" t="s">
        <v>892</v>
      </c>
      <c r="D332" s="157" t="s">
        <v>331</v>
      </c>
      <c r="E332" s="153">
        <v>1135</v>
      </c>
      <c r="F332" s="153">
        <v>561</v>
      </c>
      <c r="G332" s="153">
        <v>612.5</v>
      </c>
      <c r="H332" s="306">
        <f t="shared" si="195"/>
        <v>1.0918003565062389</v>
      </c>
      <c r="I332" s="306">
        <f t="shared" si="196"/>
        <v>0.53964757709251099</v>
      </c>
      <c r="J332" s="429" t="s">
        <v>1221</v>
      </c>
      <c r="K332" s="429" t="s">
        <v>41</v>
      </c>
      <c r="L332" s="39" t="s">
        <v>147</v>
      </c>
      <c r="M332" s="40">
        <v>0</v>
      </c>
      <c r="N332" s="41">
        <f t="shared" si="197"/>
        <v>1</v>
      </c>
      <c r="O332" s="41" t="s">
        <v>41</v>
      </c>
      <c r="AC332" s="64">
        <f t="shared" si="199"/>
        <v>1.0918003565062389</v>
      </c>
      <c r="AD332" s="64" t="s">
        <v>41</v>
      </c>
    </row>
    <row r="333" spans="1:37" ht="45" outlineLevel="2" x14ac:dyDescent="0.25">
      <c r="A333" s="236" t="s">
        <v>495</v>
      </c>
      <c r="B333" s="154" t="s">
        <v>534</v>
      </c>
      <c r="C333" s="127" t="s">
        <v>1711</v>
      </c>
      <c r="D333" s="157" t="s">
        <v>331</v>
      </c>
      <c r="E333" s="153">
        <v>0.89700000000000002</v>
      </c>
      <c r="F333" s="153">
        <v>0.53300000000000003</v>
      </c>
      <c r="G333" s="153">
        <v>0.76700000000000002</v>
      </c>
      <c r="H333" s="306">
        <f t="shared" si="195"/>
        <v>1.4390243902439024</v>
      </c>
      <c r="I333" s="306">
        <f t="shared" si="196"/>
        <v>0.85507246376811596</v>
      </c>
      <c r="J333" s="429" t="s">
        <v>1706</v>
      </c>
      <c r="K333" s="429" t="s">
        <v>41</v>
      </c>
      <c r="L333" s="39" t="s">
        <v>147</v>
      </c>
      <c r="M333" s="40">
        <v>0</v>
      </c>
      <c r="N333" s="41">
        <f t="shared" si="197"/>
        <v>1</v>
      </c>
      <c r="O333" s="41" t="s">
        <v>41</v>
      </c>
      <c r="AC333" s="64">
        <f t="shared" si="199"/>
        <v>1.4390243902439024</v>
      </c>
      <c r="AD333" s="64" t="s">
        <v>41</v>
      </c>
    </row>
    <row r="334" spans="1:37" ht="33.75" outlineLevel="2" x14ac:dyDescent="0.25">
      <c r="A334" s="236" t="s">
        <v>1435</v>
      </c>
      <c r="B334" s="154" t="s">
        <v>893</v>
      </c>
      <c r="C334" s="127" t="s">
        <v>890</v>
      </c>
      <c r="D334" s="157" t="s">
        <v>331</v>
      </c>
      <c r="E334" s="153">
        <v>487.6</v>
      </c>
      <c r="F334" s="153">
        <v>320</v>
      </c>
      <c r="G334" s="153">
        <v>685</v>
      </c>
      <c r="H334" s="306">
        <f t="shared" si="195"/>
        <v>2.140625</v>
      </c>
      <c r="I334" s="306">
        <f t="shared" si="196"/>
        <v>1.4048400328137818</v>
      </c>
      <c r="J334" s="429" t="s">
        <v>1149</v>
      </c>
      <c r="K334" s="429" t="s">
        <v>41</v>
      </c>
      <c r="L334" s="39" t="s">
        <v>147</v>
      </c>
      <c r="M334" s="40">
        <v>0</v>
      </c>
      <c r="N334" s="41">
        <f t="shared" si="197"/>
        <v>1</v>
      </c>
      <c r="O334" s="41" t="s">
        <v>41</v>
      </c>
      <c r="AC334" s="64">
        <f t="shared" si="199"/>
        <v>2.140625</v>
      </c>
      <c r="AD334" s="64" t="s">
        <v>41</v>
      </c>
    </row>
    <row r="335" spans="1:37" ht="30" customHeight="1" outlineLevel="2" x14ac:dyDescent="0.25">
      <c r="A335" s="236" t="s">
        <v>1436</v>
      </c>
      <c r="B335" s="154" t="s">
        <v>531</v>
      </c>
      <c r="C335" s="127" t="s">
        <v>353</v>
      </c>
      <c r="D335" s="244" t="s">
        <v>312</v>
      </c>
      <c r="E335" s="153">
        <v>186</v>
      </c>
      <c r="F335" s="153">
        <v>41</v>
      </c>
      <c r="G335" s="153">
        <v>190</v>
      </c>
      <c r="H335" s="306">
        <f t="shared" si="195"/>
        <v>4.6341463414634143</v>
      </c>
      <c r="I335" s="306">
        <f t="shared" si="196"/>
        <v>1.021505376344086</v>
      </c>
      <c r="J335" s="429" t="s">
        <v>1707</v>
      </c>
      <c r="K335" s="429" t="s">
        <v>41</v>
      </c>
      <c r="L335" s="39" t="s">
        <v>147</v>
      </c>
      <c r="M335" s="40">
        <v>1</v>
      </c>
      <c r="N335" s="41">
        <f t="shared" si="197"/>
        <v>1</v>
      </c>
      <c r="O335" s="41" t="s">
        <v>41</v>
      </c>
      <c r="AC335" s="64">
        <f t="shared" si="199"/>
        <v>4.6341463414634143</v>
      </c>
      <c r="AD335" s="64" t="s">
        <v>41</v>
      </c>
    </row>
    <row r="336" spans="1:37" ht="33.75" customHeight="1" outlineLevel="2" x14ac:dyDescent="0.25">
      <c r="A336" s="236" t="s">
        <v>1437</v>
      </c>
      <c r="B336" s="154" t="s">
        <v>532</v>
      </c>
      <c r="C336" s="127" t="s">
        <v>353</v>
      </c>
      <c r="D336" s="244" t="s">
        <v>312</v>
      </c>
      <c r="E336" s="153">
        <v>42</v>
      </c>
      <c r="F336" s="153">
        <v>35</v>
      </c>
      <c r="G336" s="153">
        <v>43</v>
      </c>
      <c r="H336" s="306">
        <f t="shared" si="195"/>
        <v>1.2285714285714286</v>
      </c>
      <c r="I336" s="306">
        <f t="shared" si="196"/>
        <v>1.0238095238095237</v>
      </c>
      <c r="J336" s="429" t="s">
        <v>1708</v>
      </c>
      <c r="K336" s="429" t="s">
        <v>41</v>
      </c>
      <c r="L336" s="39" t="s">
        <v>147</v>
      </c>
      <c r="M336" s="40">
        <v>1</v>
      </c>
      <c r="N336" s="41">
        <f t="shared" si="197"/>
        <v>1</v>
      </c>
      <c r="O336" s="41" t="s">
        <v>41</v>
      </c>
      <c r="AC336" s="64">
        <f t="shared" si="199"/>
        <v>1.2285714285714286</v>
      </c>
      <c r="AD336" s="64" t="s">
        <v>41</v>
      </c>
    </row>
    <row r="337" spans="1:37" ht="32.25" customHeight="1" outlineLevel="2" x14ac:dyDescent="0.25">
      <c r="A337" s="236" t="s">
        <v>1438</v>
      </c>
      <c r="B337" s="154" t="s">
        <v>894</v>
      </c>
      <c r="C337" s="127" t="s">
        <v>890</v>
      </c>
      <c r="D337" s="244" t="s">
        <v>312</v>
      </c>
      <c r="E337" s="153">
        <v>264</v>
      </c>
      <c r="F337" s="153">
        <v>245</v>
      </c>
      <c r="G337" s="153">
        <v>256</v>
      </c>
      <c r="H337" s="306">
        <f t="shared" si="195"/>
        <v>1.0448979591836736</v>
      </c>
      <c r="I337" s="306">
        <f t="shared" si="196"/>
        <v>0.96969696969696972</v>
      </c>
      <c r="J337" s="429" t="s">
        <v>1709</v>
      </c>
      <c r="K337" s="429" t="s">
        <v>41</v>
      </c>
      <c r="L337" s="39" t="s">
        <v>147</v>
      </c>
      <c r="M337" s="40">
        <v>1</v>
      </c>
      <c r="N337" s="41">
        <f t="shared" si="197"/>
        <v>1</v>
      </c>
      <c r="O337" s="41">
        <f t="shared" ref="O337" si="200">IF(I337&gt;1.25,1.25,I337)</f>
        <v>0.96969696969696972</v>
      </c>
      <c r="AC337" s="64">
        <f t="shared" si="199"/>
        <v>1.0448979591836736</v>
      </c>
      <c r="AD337" s="64">
        <f t="shared" ref="AD337:AD384" si="201">I337</f>
        <v>0.96969696969696972</v>
      </c>
    </row>
    <row r="338" spans="1:37" s="45" customFormat="1" ht="27" customHeight="1" outlineLevel="1" x14ac:dyDescent="0.25">
      <c r="A338" s="65" t="s">
        <v>150</v>
      </c>
      <c r="B338" s="619" t="s">
        <v>899</v>
      </c>
      <c r="C338" s="619"/>
      <c r="D338" s="619"/>
      <c r="E338" s="619"/>
      <c r="F338" s="619"/>
      <c r="G338" s="619"/>
      <c r="H338" s="66">
        <f>AVERAGE(N339:N346)</f>
        <v>0.83229212956273535</v>
      </c>
      <c r="I338" s="66">
        <f>AVERAGE(O339:O343,O344:O346)</f>
        <v>1.0662698771651498</v>
      </c>
      <c r="J338" s="67"/>
      <c r="K338" s="67"/>
      <c r="L338" s="68"/>
      <c r="M338" s="61"/>
      <c r="N338" s="41"/>
      <c r="O338" s="41"/>
      <c r="P338" s="47"/>
      <c r="Q338" s="47"/>
      <c r="R338" s="98">
        <f>COUNTA(C339:C346)</f>
        <v>8</v>
      </c>
      <c r="S338" s="97">
        <v>0</v>
      </c>
      <c r="T338" s="98">
        <f>COUNTIFS(AC339:AC346,"&gt;1,50")</f>
        <v>1</v>
      </c>
      <c r="U338" s="98">
        <f>COUNTIFS(AC339:AC346,"&gt;=0,995",AC339:AC346,"&lt;=1,5")</f>
        <v>4</v>
      </c>
      <c r="V338" s="98">
        <f>COUNTIFS(AC339:AC346,"&gt;=0,85",AC339:AC346,"&lt;0,995")</f>
        <v>1</v>
      </c>
      <c r="W338" s="98">
        <f>COUNTIFS(AC339:AC346,"&lt;0,85")</f>
        <v>2</v>
      </c>
      <c r="X338" s="50"/>
      <c r="Z338" s="90">
        <f>COUNTIFS(AD339:AD346,"&gt;=1,01")</f>
        <v>2</v>
      </c>
      <c r="AA338" s="90">
        <f>COUNTIFS(AD339:AD346,"&gt;=0,99",AD339:AD346,"&lt;1,01")</f>
        <v>3</v>
      </c>
      <c r="AB338" s="91">
        <f>COUNTIFS(AD339:AD346,"&lt;0,99")</f>
        <v>1</v>
      </c>
      <c r="AC338" s="64"/>
      <c r="AD338" s="64"/>
      <c r="AK338" s="45">
        <f>SUM(T338:X338)-R338</f>
        <v>0</v>
      </c>
    </row>
    <row r="339" spans="1:37" ht="45" outlineLevel="2" x14ac:dyDescent="0.25">
      <c r="A339" s="236" t="s">
        <v>1439</v>
      </c>
      <c r="B339" s="141" t="s">
        <v>900</v>
      </c>
      <c r="C339" s="127" t="s">
        <v>334</v>
      </c>
      <c r="D339" s="251" t="s">
        <v>298</v>
      </c>
      <c r="E339" s="153">
        <v>2</v>
      </c>
      <c r="F339" s="153">
        <v>0</v>
      </c>
      <c r="G339" s="153">
        <v>0</v>
      </c>
      <c r="H339" s="306">
        <v>1</v>
      </c>
      <c r="I339" s="306">
        <v>1</v>
      </c>
      <c r="J339" s="429" t="s">
        <v>1712</v>
      </c>
      <c r="K339" s="429" t="s">
        <v>41</v>
      </c>
      <c r="L339" s="263" t="s">
        <v>155</v>
      </c>
      <c r="M339" s="40">
        <v>-1</v>
      </c>
      <c r="N339" s="41">
        <f t="shared" ref="N339:N342" si="202">IF(H339&gt;1,1,H339)</f>
        <v>1</v>
      </c>
      <c r="O339" s="41">
        <f t="shared" ref="O339:O341" si="203">IF(I339&gt;1.25,1.25,I339)</f>
        <v>1</v>
      </c>
      <c r="AC339" s="64">
        <f t="shared" si="199"/>
        <v>1</v>
      </c>
      <c r="AD339" s="64">
        <f t="shared" si="201"/>
        <v>1</v>
      </c>
    </row>
    <row r="340" spans="1:37" ht="78.75" outlineLevel="2" x14ac:dyDescent="0.25">
      <c r="A340" s="236" t="s">
        <v>498</v>
      </c>
      <c r="B340" s="154" t="s">
        <v>901</v>
      </c>
      <c r="C340" s="127" t="s">
        <v>334</v>
      </c>
      <c r="D340" s="251" t="s">
        <v>298</v>
      </c>
      <c r="E340" s="153">
        <v>2</v>
      </c>
      <c r="F340" s="153">
        <v>0</v>
      </c>
      <c r="G340" s="153">
        <v>1</v>
      </c>
      <c r="H340" s="306">
        <f>F340/G340</f>
        <v>0</v>
      </c>
      <c r="I340" s="306">
        <f>E340/G340</f>
        <v>2</v>
      </c>
      <c r="J340" s="429" t="s">
        <v>1713</v>
      </c>
      <c r="K340" s="429" t="s">
        <v>1222</v>
      </c>
      <c r="L340" s="263" t="s">
        <v>155</v>
      </c>
      <c r="M340" s="40">
        <v>-1</v>
      </c>
      <c r="N340" s="41">
        <f t="shared" si="202"/>
        <v>0</v>
      </c>
      <c r="O340" s="41">
        <f t="shared" si="203"/>
        <v>1.25</v>
      </c>
      <c r="AC340" s="64">
        <f t="shared" si="199"/>
        <v>0</v>
      </c>
      <c r="AD340" s="64">
        <f t="shared" si="201"/>
        <v>2</v>
      </c>
    </row>
    <row r="341" spans="1:37" ht="112.5" customHeight="1" outlineLevel="2" x14ac:dyDescent="0.25">
      <c r="A341" s="236" t="s">
        <v>500</v>
      </c>
      <c r="B341" s="154" t="s">
        <v>524</v>
      </c>
      <c r="C341" s="127" t="s">
        <v>314</v>
      </c>
      <c r="D341" s="251" t="s">
        <v>298</v>
      </c>
      <c r="E341" s="153">
        <v>5.0000000000000001E-3</v>
      </c>
      <c r="F341" s="153">
        <v>0.04</v>
      </c>
      <c r="G341" s="153">
        <v>0</v>
      </c>
      <c r="H341" s="306">
        <v>1</v>
      </c>
      <c r="I341" s="306">
        <v>1</v>
      </c>
      <c r="J341" s="429" t="s">
        <v>1714</v>
      </c>
      <c r="K341" s="429" t="s">
        <v>41</v>
      </c>
      <c r="L341" s="263" t="s">
        <v>155</v>
      </c>
      <c r="M341" s="40">
        <v>-1</v>
      </c>
      <c r="N341" s="41">
        <f t="shared" si="202"/>
        <v>1</v>
      </c>
      <c r="O341" s="41">
        <f t="shared" si="203"/>
        <v>1</v>
      </c>
      <c r="AC341" s="64">
        <f t="shared" si="199"/>
        <v>1</v>
      </c>
      <c r="AD341" s="64">
        <f t="shared" si="201"/>
        <v>1</v>
      </c>
    </row>
    <row r="342" spans="1:37" ht="67.5" outlineLevel="2" x14ac:dyDescent="0.25">
      <c r="A342" s="236" t="s">
        <v>501</v>
      </c>
      <c r="B342" s="154" t="s">
        <v>528</v>
      </c>
      <c r="C342" s="127" t="s">
        <v>529</v>
      </c>
      <c r="D342" s="157" t="s">
        <v>331</v>
      </c>
      <c r="E342" s="153">
        <v>49.511000000000003</v>
      </c>
      <c r="F342" s="153">
        <v>62.17</v>
      </c>
      <c r="G342" s="153">
        <v>44.09</v>
      </c>
      <c r="H342" s="306">
        <f>G342/F342</f>
        <v>0.7091844941290012</v>
      </c>
      <c r="I342" s="306">
        <f>G342/E342</f>
        <v>0.89050917977823107</v>
      </c>
      <c r="J342" s="429" t="s">
        <v>1715</v>
      </c>
      <c r="K342" s="429" t="s">
        <v>1223</v>
      </c>
      <c r="L342" s="263" t="s">
        <v>155</v>
      </c>
      <c r="M342" s="40">
        <v>0</v>
      </c>
      <c r="N342" s="41">
        <f t="shared" si="202"/>
        <v>0.7091844941290012</v>
      </c>
      <c r="O342" s="41" t="s">
        <v>41</v>
      </c>
      <c r="AC342" s="64">
        <f t="shared" si="199"/>
        <v>0.7091844941290012</v>
      </c>
      <c r="AD342" s="64"/>
    </row>
    <row r="343" spans="1:37" ht="56.25" outlineLevel="2" x14ac:dyDescent="0.25">
      <c r="A343" s="236" t="s">
        <v>1440</v>
      </c>
      <c r="B343" s="154" t="s">
        <v>530</v>
      </c>
      <c r="C343" s="127" t="s">
        <v>529</v>
      </c>
      <c r="D343" s="157" t="s">
        <v>331</v>
      </c>
      <c r="E343" s="153">
        <v>49.548000000000002</v>
      </c>
      <c r="F343" s="153">
        <v>46</v>
      </c>
      <c r="G343" s="153">
        <v>47.335000000000001</v>
      </c>
      <c r="H343" s="306">
        <f>G343/F343</f>
        <v>1.0290217391304348</v>
      </c>
      <c r="I343" s="306">
        <f>G343/E343</f>
        <v>0.95533623960603853</v>
      </c>
      <c r="J343" s="429" t="s">
        <v>1716</v>
      </c>
      <c r="K343" s="429" t="s">
        <v>41</v>
      </c>
      <c r="L343" s="263" t="s">
        <v>155</v>
      </c>
      <c r="M343" s="40">
        <v>0</v>
      </c>
      <c r="N343" s="41">
        <f>IF(H343&gt;1,1,H343)</f>
        <v>1</v>
      </c>
      <c r="O343" s="41" t="s">
        <v>41</v>
      </c>
      <c r="AC343" s="64">
        <f t="shared" si="199"/>
        <v>1.0290217391304348</v>
      </c>
      <c r="AD343" s="64"/>
    </row>
    <row r="344" spans="1:37" ht="85.5" customHeight="1" outlineLevel="2" x14ac:dyDescent="0.25">
      <c r="A344" s="236" t="s">
        <v>1441</v>
      </c>
      <c r="B344" s="308" t="s">
        <v>902</v>
      </c>
      <c r="C344" s="127" t="s">
        <v>314</v>
      </c>
      <c r="D344" s="244" t="s">
        <v>312</v>
      </c>
      <c r="E344" s="153">
        <v>97.6</v>
      </c>
      <c r="F344" s="153">
        <v>94</v>
      </c>
      <c r="G344" s="153">
        <v>96.1</v>
      </c>
      <c r="H344" s="306">
        <f>G344/F344</f>
        <v>1.0223404255319148</v>
      </c>
      <c r="I344" s="306">
        <f>G344/E344</f>
        <v>0.98463114754098358</v>
      </c>
      <c r="J344" s="429" t="s">
        <v>1717</v>
      </c>
      <c r="K344" s="429" t="s">
        <v>41</v>
      </c>
      <c r="L344" s="263" t="s">
        <v>155</v>
      </c>
      <c r="M344" s="40">
        <v>1</v>
      </c>
      <c r="N344" s="41">
        <f t="shared" ref="N344:N346" si="204">IF(H344&gt;1,1,H344)</f>
        <v>1</v>
      </c>
      <c r="O344" s="41">
        <f t="shared" ref="O344:O346" si="205">IF(I344&gt;1.25,1.25,I344)</f>
        <v>0.98463114754098358</v>
      </c>
      <c r="AC344" s="64">
        <f t="shared" si="199"/>
        <v>1.0223404255319148</v>
      </c>
      <c r="AD344" s="64">
        <f t="shared" si="201"/>
        <v>0.98463114754098358</v>
      </c>
    </row>
    <row r="345" spans="1:37" ht="56.25" outlineLevel="2" x14ac:dyDescent="0.25">
      <c r="A345" s="236" t="s">
        <v>1442</v>
      </c>
      <c r="B345" s="141" t="s">
        <v>666</v>
      </c>
      <c r="C345" s="127" t="s">
        <v>320</v>
      </c>
      <c r="D345" s="251" t="s">
        <v>298</v>
      </c>
      <c r="E345" s="153">
        <v>685</v>
      </c>
      <c r="F345" s="153">
        <v>1300</v>
      </c>
      <c r="G345" s="153">
        <v>589</v>
      </c>
      <c r="H345" s="306">
        <f>F345/G345</f>
        <v>2.2071307300509337</v>
      </c>
      <c r="I345" s="306">
        <f>E345/G345</f>
        <v>1.1629881154499151</v>
      </c>
      <c r="J345" s="429" t="s">
        <v>1150</v>
      </c>
      <c r="K345" s="429" t="s">
        <v>41</v>
      </c>
      <c r="L345" s="263" t="s">
        <v>155</v>
      </c>
      <c r="M345" s="40">
        <v>-1</v>
      </c>
      <c r="N345" s="41">
        <f t="shared" si="204"/>
        <v>1</v>
      </c>
      <c r="O345" s="41">
        <f t="shared" si="205"/>
        <v>1.1629881154499151</v>
      </c>
      <c r="AC345" s="64">
        <f t="shared" si="199"/>
        <v>2.2071307300509337</v>
      </c>
      <c r="AD345" s="64">
        <f t="shared" si="201"/>
        <v>1.1629881154499151</v>
      </c>
    </row>
    <row r="346" spans="1:37" ht="45" outlineLevel="2" x14ac:dyDescent="0.25">
      <c r="A346" s="236" t="s">
        <v>1443</v>
      </c>
      <c r="B346" s="141" t="s">
        <v>667</v>
      </c>
      <c r="C346" s="127" t="s">
        <v>314</v>
      </c>
      <c r="D346" s="251" t="s">
        <v>298</v>
      </c>
      <c r="E346" s="153">
        <v>59</v>
      </c>
      <c r="F346" s="153">
        <v>56</v>
      </c>
      <c r="G346" s="153">
        <v>59</v>
      </c>
      <c r="H346" s="306">
        <f>F346/G346</f>
        <v>0.94915254237288138</v>
      </c>
      <c r="I346" s="306">
        <f>E346/G346</f>
        <v>1</v>
      </c>
      <c r="J346" s="429" t="s">
        <v>1718</v>
      </c>
      <c r="K346" s="429" t="s">
        <v>1224</v>
      </c>
      <c r="L346" s="263" t="s">
        <v>155</v>
      </c>
      <c r="M346" s="40">
        <v>-1</v>
      </c>
      <c r="N346" s="41">
        <f t="shared" si="204"/>
        <v>0.94915254237288138</v>
      </c>
      <c r="O346" s="41">
        <f t="shared" si="205"/>
        <v>1</v>
      </c>
      <c r="AC346" s="64">
        <f t="shared" si="199"/>
        <v>0.94915254237288138</v>
      </c>
      <c r="AD346" s="64">
        <f t="shared" si="201"/>
        <v>1</v>
      </c>
    </row>
    <row r="347" spans="1:37" s="45" customFormat="1" ht="17.25" customHeight="1" outlineLevel="1" x14ac:dyDescent="0.25">
      <c r="A347" s="65" t="s">
        <v>151</v>
      </c>
      <c r="B347" s="619" t="s">
        <v>903</v>
      </c>
      <c r="C347" s="619"/>
      <c r="D347" s="619"/>
      <c r="E347" s="619"/>
      <c r="F347" s="619"/>
      <c r="G347" s="619"/>
      <c r="H347" s="66">
        <f>AVERAGE(N348:N349)</f>
        <v>1</v>
      </c>
      <c r="I347" s="66">
        <v>1</v>
      </c>
      <c r="J347" s="67"/>
      <c r="K347" s="67"/>
      <c r="L347" s="68"/>
      <c r="M347" s="61"/>
      <c r="N347" s="41"/>
      <c r="O347" s="41"/>
      <c r="P347" s="47"/>
      <c r="Q347" s="47"/>
      <c r="R347" s="98">
        <f>COUNTA(C348:C349)</f>
        <v>2</v>
      </c>
      <c r="S347" s="97">
        <v>0</v>
      </c>
      <c r="T347" s="98">
        <f>COUNTIFS(AC348:AC349,"&gt;1,50")</f>
        <v>0</v>
      </c>
      <c r="U347" s="98">
        <f>COUNTIFS(AC348:AC349,"&gt;=0,995",AC348:AC349,"&lt;=1,5")</f>
        <v>2</v>
      </c>
      <c r="V347" s="98">
        <f>COUNTIFS(AC348:AC349,"&gt;=0,85",AC348:AC349,"&lt;0,995")</f>
        <v>0</v>
      </c>
      <c r="W347" s="98">
        <f>COUNTIFS(AC348:AC349,"&lt;0,85")</f>
        <v>0</v>
      </c>
      <c r="X347" s="50"/>
      <c r="Z347" s="90">
        <f>COUNTIFS(AD348:AD349,"&gt;=1,01")</f>
        <v>0</v>
      </c>
      <c r="AA347" s="90">
        <f>COUNTIFS(AD348:AD349,"&gt;=0,99",AD348:AD349,"&lt;1,01")</f>
        <v>0</v>
      </c>
      <c r="AB347" s="91">
        <f>COUNTIFS(AD348:AD349,"&lt;0,99")</f>
        <v>0</v>
      </c>
      <c r="AC347" s="64"/>
      <c r="AD347" s="64"/>
      <c r="AK347" s="45">
        <f>SUM(T347:X347)-R347</f>
        <v>0</v>
      </c>
    </row>
    <row r="348" spans="1:37" s="45" customFormat="1" ht="57.75" customHeight="1" outlineLevel="1" x14ac:dyDescent="0.25">
      <c r="A348" s="236" t="s">
        <v>1721</v>
      </c>
      <c r="B348" s="141" t="s">
        <v>1719</v>
      </c>
      <c r="C348" s="429" t="s">
        <v>843</v>
      </c>
      <c r="D348" s="157" t="s">
        <v>331</v>
      </c>
      <c r="E348" s="153">
        <v>2</v>
      </c>
      <c r="F348" s="153">
        <v>2</v>
      </c>
      <c r="G348" s="153">
        <v>2</v>
      </c>
      <c r="H348" s="77">
        <f t="shared" ref="H348" si="206">G348/F348</f>
        <v>1</v>
      </c>
      <c r="I348" s="77">
        <f t="shared" ref="I348" si="207">G348/E348</f>
        <v>1</v>
      </c>
      <c r="J348" s="305" t="s">
        <v>41</v>
      </c>
      <c r="K348" s="305" t="s">
        <v>41</v>
      </c>
      <c r="L348" s="39" t="s">
        <v>147</v>
      </c>
      <c r="M348" s="40">
        <v>0</v>
      </c>
      <c r="N348" s="41">
        <f t="shared" ref="N348" si="208">IF(H348&gt;1,1,H348)</f>
        <v>1</v>
      </c>
      <c r="O348" s="41" t="s">
        <v>41</v>
      </c>
      <c r="P348" s="47"/>
      <c r="Q348" s="47"/>
      <c r="R348" s="353"/>
      <c r="S348" s="97"/>
      <c r="T348" s="353"/>
      <c r="U348" s="353"/>
      <c r="V348" s="353"/>
      <c r="W348" s="353"/>
      <c r="X348" s="50"/>
      <c r="Z348" s="354"/>
      <c r="AA348" s="354"/>
      <c r="AB348" s="354"/>
      <c r="AC348" s="64">
        <f t="shared" ref="AC348:AC349" si="209">H348</f>
        <v>1</v>
      </c>
      <c r="AD348" s="64" t="s">
        <v>41</v>
      </c>
    </row>
    <row r="349" spans="1:37" ht="22.5" outlineLevel="2" x14ac:dyDescent="0.25">
      <c r="A349" s="236" t="s">
        <v>1722</v>
      </c>
      <c r="B349" s="141" t="s">
        <v>1720</v>
      </c>
      <c r="C349" s="429" t="s">
        <v>843</v>
      </c>
      <c r="D349" s="76" t="s">
        <v>331</v>
      </c>
      <c r="E349" s="153" t="s">
        <v>41</v>
      </c>
      <c r="F349" s="153">
        <v>1</v>
      </c>
      <c r="G349" s="153">
        <v>1</v>
      </c>
      <c r="H349" s="77">
        <f t="shared" ref="H349" si="210">G349/F349</f>
        <v>1</v>
      </c>
      <c r="I349" s="77" t="s">
        <v>41</v>
      </c>
      <c r="J349" s="305" t="s">
        <v>41</v>
      </c>
      <c r="K349" s="305" t="s">
        <v>41</v>
      </c>
      <c r="L349" s="39" t="s">
        <v>1225</v>
      </c>
      <c r="M349" s="40">
        <v>0</v>
      </c>
      <c r="N349" s="41">
        <f t="shared" ref="N349" si="211">IF(H349&gt;1,1,H349)</f>
        <v>1</v>
      </c>
      <c r="O349" s="41" t="s">
        <v>41</v>
      </c>
      <c r="AC349" s="64">
        <f t="shared" si="209"/>
        <v>1</v>
      </c>
      <c r="AD349" s="64" t="str">
        <f t="shared" ref="AD349" si="212">I349</f>
        <v>-</v>
      </c>
    </row>
    <row r="350" spans="1:37" s="45" customFormat="1" ht="21.75" customHeight="1" x14ac:dyDescent="0.25">
      <c r="A350" s="401" t="s">
        <v>154</v>
      </c>
      <c r="B350" s="620" t="s">
        <v>1277</v>
      </c>
      <c r="C350" s="620"/>
      <c r="D350" s="620"/>
      <c r="E350" s="620"/>
      <c r="F350" s="620"/>
      <c r="G350" s="620"/>
      <c r="H350" s="402">
        <f>AVERAGE(N351:N355,N357:N365,N367:N373,N375:N380)</f>
        <v>0.9896108393563714</v>
      </c>
      <c r="I350" s="402">
        <f>AVERAGE(O351:O355,O357:O365,O367:O373,O375:O380)</f>
        <v>1.0049742397094212</v>
      </c>
      <c r="J350" s="403"/>
      <c r="K350" s="403"/>
      <c r="L350" s="404"/>
      <c r="M350" s="40"/>
      <c r="N350" s="188"/>
      <c r="O350" s="188"/>
      <c r="P350" s="47"/>
      <c r="Q350" s="47"/>
      <c r="R350" s="104">
        <f>COUNTA(C351:C380)</f>
        <v>27</v>
      </c>
      <c r="S350" s="96">
        <f>R350-T350-U350-V350-W350</f>
        <v>0</v>
      </c>
      <c r="T350" s="104">
        <f>COUNTIFS(AC351:AC380,"&gt;1,50")</f>
        <v>4</v>
      </c>
      <c r="U350" s="104">
        <f>COUNTIFS(AC351:AC380,"&gt;=0,995",AC351:AC380,"&lt;=1,5")</f>
        <v>21</v>
      </c>
      <c r="V350" s="104">
        <f>COUNTIFS(AC351:AC380,"&gt;=0,85",AC351:AC380,"&lt;0,995")</f>
        <v>1</v>
      </c>
      <c r="W350" s="104">
        <f>COUNTIFS(AC351:AC380,"&lt;0,85")</f>
        <v>1</v>
      </c>
      <c r="X350" s="47"/>
      <c r="Z350" s="94">
        <f>COUNTIFS(AD351:AD380,"&gt;=1,01")</f>
        <v>7</v>
      </c>
      <c r="AA350" s="94">
        <f>COUNTIFS(AD351:AD380,"&gt;=0,99",AD351:AD380,"&lt;1,01")</f>
        <v>2</v>
      </c>
      <c r="AB350" s="95">
        <f>COUNTIFS(AD351:AD380,"&lt;0,99")</f>
        <v>3</v>
      </c>
      <c r="AC350" s="64"/>
      <c r="AD350" s="64"/>
      <c r="AK350" s="45">
        <f>SUM(T350:X350)-R350</f>
        <v>0</v>
      </c>
    </row>
    <row r="351" spans="1:37" ht="45" outlineLevel="2" x14ac:dyDescent="0.25">
      <c r="A351" s="236" t="s">
        <v>504</v>
      </c>
      <c r="B351" s="376" t="s">
        <v>1279</v>
      </c>
      <c r="C351" s="153" t="s">
        <v>1278</v>
      </c>
      <c r="D351" s="244" t="s">
        <v>312</v>
      </c>
      <c r="E351" s="261">
        <v>49.965000000000003</v>
      </c>
      <c r="F351" s="442">
        <v>50.596800000000002</v>
      </c>
      <c r="G351" s="441">
        <v>53.570300000000003</v>
      </c>
      <c r="H351" s="257">
        <f>G351/F351*100%</f>
        <v>1.0587685387218164</v>
      </c>
      <c r="I351" s="257">
        <f>G351/E351</f>
        <v>1.0721565095566896</v>
      </c>
      <c r="J351" s="130" t="s">
        <v>41</v>
      </c>
      <c r="K351" s="130" t="s">
        <v>41</v>
      </c>
      <c r="L351" s="127" t="s">
        <v>664</v>
      </c>
      <c r="M351" s="40">
        <v>1</v>
      </c>
      <c r="N351" s="41">
        <f t="shared" ref="N351:N353" si="213">IF(H351&gt;1,1,H351)</f>
        <v>1</v>
      </c>
      <c r="O351" s="41">
        <f t="shared" ref="O351" si="214">IF(I351&gt;1.25,1.25,I351)</f>
        <v>1.0721565095566896</v>
      </c>
      <c r="AC351" s="64">
        <f t="shared" si="199"/>
        <v>1.0587685387218164</v>
      </c>
      <c r="AD351" s="64">
        <f t="shared" si="201"/>
        <v>1.0721565095566896</v>
      </c>
    </row>
    <row r="352" spans="1:37" ht="45" outlineLevel="2" x14ac:dyDescent="0.25">
      <c r="A352" s="236" t="s">
        <v>505</v>
      </c>
      <c r="B352" s="376" t="s">
        <v>537</v>
      </c>
      <c r="C352" s="148" t="s">
        <v>334</v>
      </c>
      <c r="D352" s="309" t="s">
        <v>331</v>
      </c>
      <c r="E352" s="153">
        <v>184</v>
      </c>
      <c r="F352" s="153">
        <v>179</v>
      </c>
      <c r="G352" s="153">
        <v>181</v>
      </c>
      <c r="H352" s="310">
        <f>G352/F352</f>
        <v>1.011173184357542</v>
      </c>
      <c r="I352" s="310" t="s">
        <v>41</v>
      </c>
      <c r="J352" s="130" t="s">
        <v>41</v>
      </c>
      <c r="K352" s="130" t="s">
        <v>41</v>
      </c>
      <c r="L352" s="217" t="s">
        <v>664</v>
      </c>
      <c r="M352" s="40">
        <v>0</v>
      </c>
      <c r="N352" s="41">
        <f t="shared" si="213"/>
        <v>1</v>
      </c>
      <c r="O352" s="41" t="s">
        <v>41</v>
      </c>
      <c r="AC352" s="64">
        <f t="shared" si="199"/>
        <v>1.011173184357542</v>
      </c>
      <c r="AD352" s="64" t="str">
        <f t="shared" si="201"/>
        <v>-</v>
      </c>
    </row>
    <row r="353" spans="1:37" ht="45" outlineLevel="2" x14ac:dyDescent="0.25">
      <c r="A353" s="236" t="s">
        <v>506</v>
      </c>
      <c r="B353" s="376" t="s">
        <v>539</v>
      </c>
      <c r="C353" s="153" t="s">
        <v>334</v>
      </c>
      <c r="D353" s="251" t="s">
        <v>298</v>
      </c>
      <c r="E353" s="153">
        <v>622</v>
      </c>
      <c r="F353" s="153">
        <v>885</v>
      </c>
      <c r="G353" s="153">
        <v>635</v>
      </c>
      <c r="H353" s="257">
        <f>F353/G353</f>
        <v>1.3937007874015748</v>
      </c>
      <c r="I353" s="257">
        <f>E353/G353</f>
        <v>0.97952755905511812</v>
      </c>
      <c r="J353" s="439" t="s">
        <v>1152</v>
      </c>
      <c r="K353" s="127" t="s">
        <v>41</v>
      </c>
      <c r="L353" s="127" t="s">
        <v>664</v>
      </c>
      <c r="M353" s="40">
        <v>-1</v>
      </c>
      <c r="N353" s="41">
        <f t="shared" si="213"/>
        <v>1</v>
      </c>
      <c r="O353" s="41">
        <f t="shared" ref="O353:O355" si="215">IF(I353&gt;1.25,1.25,I353)</f>
        <v>0.97952755905511812</v>
      </c>
      <c r="AC353" s="64">
        <f t="shared" si="199"/>
        <v>1.3937007874015748</v>
      </c>
      <c r="AD353" s="64">
        <f t="shared" si="201"/>
        <v>0.97952755905511812</v>
      </c>
    </row>
    <row r="354" spans="1:37" ht="56.25" outlineLevel="2" x14ac:dyDescent="0.25">
      <c r="A354" s="236" t="s">
        <v>1767</v>
      </c>
      <c r="B354" s="379" t="s">
        <v>1151</v>
      </c>
      <c r="C354" s="153" t="s">
        <v>1288</v>
      </c>
      <c r="D354" s="244" t="s">
        <v>312</v>
      </c>
      <c r="E354" s="153">
        <v>0.49</v>
      </c>
      <c r="F354" s="153">
        <v>0.84919999999999995</v>
      </c>
      <c r="G354" s="153">
        <v>2.2242000000000002</v>
      </c>
      <c r="H354" s="257">
        <f>G354/F354*100%</f>
        <v>2.619170984455959</v>
      </c>
      <c r="I354" s="257">
        <f>G354/E354</f>
        <v>4.5391836734693882</v>
      </c>
      <c r="J354" s="439" t="s">
        <v>1769</v>
      </c>
      <c r="K354" s="130" t="s">
        <v>41</v>
      </c>
      <c r="L354" s="439" t="s">
        <v>664</v>
      </c>
      <c r="M354" s="40">
        <v>1</v>
      </c>
      <c r="N354" s="41">
        <f t="shared" ref="N354:N355" si="216">IF(H354&gt;1,1,H354)</f>
        <v>1</v>
      </c>
      <c r="O354" s="41" t="s">
        <v>41</v>
      </c>
      <c r="AC354" s="64">
        <f t="shared" si="199"/>
        <v>2.619170984455959</v>
      </c>
      <c r="AD354" s="64" t="s">
        <v>41</v>
      </c>
    </row>
    <row r="355" spans="1:37" ht="45" outlineLevel="2" x14ac:dyDescent="0.25">
      <c r="A355" s="236" t="s">
        <v>1768</v>
      </c>
      <c r="B355" s="379" t="s">
        <v>1286</v>
      </c>
      <c r="C355" s="153" t="s">
        <v>314</v>
      </c>
      <c r="D355" s="244" t="s">
        <v>312</v>
      </c>
      <c r="E355" s="153">
        <v>74.622</v>
      </c>
      <c r="F355" s="153">
        <v>76.011099999999999</v>
      </c>
      <c r="G355" s="153">
        <v>77.527299999999997</v>
      </c>
      <c r="H355" s="257">
        <f>G355/F355*100%</f>
        <v>1.0199470866754987</v>
      </c>
      <c r="I355" s="257">
        <f>G355/E355</f>
        <v>1.0389335584680122</v>
      </c>
      <c r="J355" s="130" t="s">
        <v>41</v>
      </c>
      <c r="K355" s="130" t="s">
        <v>41</v>
      </c>
      <c r="L355" s="439" t="s">
        <v>664</v>
      </c>
      <c r="M355" s="40">
        <v>1</v>
      </c>
      <c r="N355" s="41">
        <f t="shared" si="216"/>
        <v>1</v>
      </c>
      <c r="O355" s="41">
        <f t="shared" si="215"/>
        <v>1.0389335584680122</v>
      </c>
      <c r="AC355" s="64">
        <f t="shared" si="199"/>
        <v>1.0199470866754987</v>
      </c>
      <c r="AD355" s="64">
        <f t="shared" si="201"/>
        <v>1.0389335584680122</v>
      </c>
    </row>
    <row r="356" spans="1:37" s="45" customFormat="1" outlineLevel="1" x14ac:dyDescent="0.25">
      <c r="A356" s="65" t="s">
        <v>156</v>
      </c>
      <c r="B356" s="619" t="s">
        <v>540</v>
      </c>
      <c r="C356" s="619"/>
      <c r="D356" s="619"/>
      <c r="E356" s="619"/>
      <c r="F356" s="619"/>
      <c r="G356" s="619"/>
      <c r="H356" s="66">
        <f>AVERAGE(N357:N365)</f>
        <v>0.99074175124595287</v>
      </c>
      <c r="I356" s="66">
        <f>AVERAGE(O357:O365)</f>
        <v>0.81418189260522211</v>
      </c>
      <c r="J356" s="67"/>
      <c r="K356" s="67"/>
      <c r="L356" s="68"/>
      <c r="M356" s="40"/>
      <c r="N356" s="41"/>
      <c r="O356" s="41"/>
      <c r="P356" s="47"/>
      <c r="Q356" s="47"/>
      <c r="R356" s="98">
        <f>COUNTA(C357:C365)</f>
        <v>9</v>
      </c>
      <c r="S356" s="97">
        <v>0</v>
      </c>
      <c r="T356" s="98">
        <f>COUNTIFS(AC357:AC365,"&gt;1,50")</f>
        <v>0</v>
      </c>
      <c r="U356" s="98">
        <f>COUNTIFS(AC357:AC365,"&gt;=0,995",AC357:AC365,"&lt;=1,5")</f>
        <v>8</v>
      </c>
      <c r="V356" s="98">
        <f>COUNTIFS(AC357:AC365,"&gt;=0,85",AC357:AC365,"&lt;0,995")</f>
        <v>1</v>
      </c>
      <c r="W356" s="98">
        <f>COUNTIFS(AC357:AC365,"&lt;0,85")</f>
        <v>0</v>
      </c>
      <c r="X356" s="50"/>
      <c r="Z356" s="90">
        <f>COUNTIFS(AD357:AD365,"&gt;=1,01")</f>
        <v>1</v>
      </c>
      <c r="AA356" s="90">
        <f>COUNTIFS(AD357:AD365,"&gt;=0,99",AD357:AD365,"&lt;1,01")</f>
        <v>1</v>
      </c>
      <c r="AB356" s="91">
        <f>COUNTIFS(AD357:AD365,"&lt;0,99")</f>
        <v>2</v>
      </c>
      <c r="AC356" s="64"/>
      <c r="AD356" s="64"/>
      <c r="AK356" s="45">
        <f>SUM(T356:X356)-R356</f>
        <v>0</v>
      </c>
    </row>
    <row r="357" spans="1:37" ht="67.5" outlineLevel="2" x14ac:dyDescent="0.25">
      <c r="A357" s="236" t="s">
        <v>1219</v>
      </c>
      <c r="B357" s="376" t="s">
        <v>1770</v>
      </c>
      <c r="C357" s="153" t="s">
        <v>1288</v>
      </c>
      <c r="D357" s="244" t="s">
        <v>312</v>
      </c>
      <c r="E357" s="153" t="s">
        <v>41</v>
      </c>
      <c r="F357" s="153">
        <v>9.0200000000000002E-2</v>
      </c>
      <c r="G357" s="153">
        <v>9.0200000000000002E-2</v>
      </c>
      <c r="H357" s="131">
        <f t="shared" ref="H357:H365" si="217">G357/F357</f>
        <v>1</v>
      </c>
      <c r="I357" s="131" t="s">
        <v>41</v>
      </c>
      <c r="J357" s="130" t="s">
        <v>41</v>
      </c>
      <c r="K357" s="130" t="s">
        <v>41</v>
      </c>
      <c r="L357" s="125" t="s">
        <v>664</v>
      </c>
      <c r="M357" s="40">
        <v>1</v>
      </c>
      <c r="N357" s="41">
        <f t="shared" ref="N357:N365" si="218">IF(H357&gt;1,1,H357)</f>
        <v>1</v>
      </c>
      <c r="O357" s="41" t="s">
        <v>41</v>
      </c>
      <c r="AC357" s="64">
        <f t="shared" si="199"/>
        <v>1</v>
      </c>
      <c r="AD357" s="64" t="s">
        <v>41</v>
      </c>
    </row>
    <row r="358" spans="1:37" ht="45" outlineLevel="2" x14ac:dyDescent="0.25">
      <c r="A358" s="236" t="s">
        <v>511</v>
      </c>
      <c r="B358" s="376" t="s">
        <v>1281</v>
      </c>
      <c r="C358" s="153" t="s">
        <v>547</v>
      </c>
      <c r="D358" s="157" t="s">
        <v>331</v>
      </c>
      <c r="E358" s="153">
        <v>6630</v>
      </c>
      <c r="F358" s="153">
        <v>18326</v>
      </c>
      <c r="G358" s="153">
        <v>16799</v>
      </c>
      <c r="H358" s="131">
        <f t="shared" si="217"/>
        <v>0.9166757612135763</v>
      </c>
      <c r="I358" s="131">
        <f>G358/E358</f>
        <v>2.533785822021116</v>
      </c>
      <c r="J358" s="130" t="s">
        <v>1771</v>
      </c>
      <c r="K358" s="130" t="s">
        <v>41</v>
      </c>
      <c r="L358" s="125" t="s">
        <v>664</v>
      </c>
      <c r="M358" s="40">
        <v>0</v>
      </c>
      <c r="N358" s="41">
        <f t="shared" si="218"/>
        <v>0.9166757612135763</v>
      </c>
      <c r="O358" s="41" t="s">
        <v>41</v>
      </c>
      <c r="AC358" s="64">
        <f t="shared" si="199"/>
        <v>0.9166757612135763</v>
      </c>
      <c r="AD358" s="64" t="s">
        <v>41</v>
      </c>
    </row>
    <row r="359" spans="1:37" ht="45" outlineLevel="2" x14ac:dyDescent="0.25">
      <c r="A359" s="236" t="s">
        <v>1444</v>
      </c>
      <c r="B359" s="376" t="s">
        <v>1282</v>
      </c>
      <c r="C359" s="153" t="s">
        <v>1278</v>
      </c>
      <c r="D359" s="244" t="s">
        <v>312</v>
      </c>
      <c r="E359" s="153">
        <v>80.819400000000002</v>
      </c>
      <c r="F359" s="153">
        <v>86.581400000000002</v>
      </c>
      <c r="G359" s="153">
        <v>87.534800000000004</v>
      </c>
      <c r="H359" s="131">
        <f t="shared" si="217"/>
        <v>1.0110116029539833</v>
      </c>
      <c r="I359" s="131">
        <f>G359/E359</f>
        <v>1.0830914359671069</v>
      </c>
      <c r="J359" s="130" t="s">
        <v>41</v>
      </c>
      <c r="K359" s="130" t="s">
        <v>41</v>
      </c>
      <c r="L359" s="125" t="s">
        <v>664</v>
      </c>
      <c r="M359" s="40">
        <v>1</v>
      </c>
      <c r="N359" s="41">
        <f t="shared" si="218"/>
        <v>1</v>
      </c>
      <c r="O359" s="41">
        <f t="shared" ref="O359:O362" si="219">IF(I359&gt;1.25,1.25,I359)</f>
        <v>1.0830914359671069</v>
      </c>
      <c r="AC359" s="64">
        <f t="shared" si="199"/>
        <v>1.0110116029539833</v>
      </c>
      <c r="AD359" s="64">
        <f t="shared" si="201"/>
        <v>1.0830914359671069</v>
      </c>
    </row>
    <row r="360" spans="1:37" ht="45" outlineLevel="2" x14ac:dyDescent="0.25">
      <c r="A360" s="236" t="s">
        <v>1445</v>
      </c>
      <c r="B360" s="376" t="s">
        <v>1283</v>
      </c>
      <c r="C360" s="153" t="s">
        <v>1287</v>
      </c>
      <c r="D360" s="244" t="s">
        <v>312</v>
      </c>
      <c r="E360" s="153">
        <v>100</v>
      </c>
      <c r="F360" s="153">
        <v>70</v>
      </c>
      <c r="G360" s="153">
        <v>100</v>
      </c>
      <c r="H360" s="131">
        <f t="shared" si="217"/>
        <v>1.4285714285714286</v>
      </c>
      <c r="I360" s="131">
        <f>G360/E360</f>
        <v>1</v>
      </c>
      <c r="J360" s="130" t="s">
        <v>1772</v>
      </c>
      <c r="K360" s="130" t="s">
        <v>41</v>
      </c>
      <c r="L360" s="125" t="s">
        <v>664</v>
      </c>
      <c r="M360" s="40">
        <v>1</v>
      </c>
      <c r="N360" s="41">
        <f t="shared" si="218"/>
        <v>1</v>
      </c>
      <c r="O360" s="41">
        <f t="shared" si="219"/>
        <v>1</v>
      </c>
      <c r="AC360" s="64">
        <f t="shared" si="199"/>
        <v>1.4285714285714286</v>
      </c>
      <c r="AD360" s="64">
        <f t="shared" si="201"/>
        <v>1</v>
      </c>
    </row>
    <row r="361" spans="1:37" ht="45" outlineLevel="2" x14ac:dyDescent="0.25">
      <c r="A361" s="236" t="s">
        <v>513</v>
      </c>
      <c r="B361" s="376" t="s">
        <v>1284</v>
      </c>
      <c r="C361" s="153" t="s">
        <v>1287</v>
      </c>
      <c r="D361" s="244" t="s">
        <v>312</v>
      </c>
      <c r="E361" s="153">
        <v>71.400000000000006</v>
      </c>
      <c r="F361" s="153">
        <v>40</v>
      </c>
      <c r="G361" s="153">
        <v>60</v>
      </c>
      <c r="H361" s="131">
        <f t="shared" si="217"/>
        <v>1.5</v>
      </c>
      <c r="I361" s="131">
        <f>G361/E361</f>
        <v>0.84033613445378141</v>
      </c>
      <c r="J361" s="130" t="s">
        <v>1777</v>
      </c>
      <c r="K361" s="373" t="s">
        <v>41</v>
      </c>
      <c r="L361" s="125" t="s">
        <v>664</v>
      </c>
      <c r="M361" s="40">
        <v>1</v>
      </c>
      <c r="N361" s="41">
        <f t="shared" si="218"/>
        <v>1</v>
      </c>
      <c r="O361" s="41">
        <f t="shared" si="219"/>
        <v>0.84033613445378141</v>
      </c>
      <c r="AC361" s="64">
        <f t="shared" si="199"/>
        <v>1.5</v>
      </c>
      <c r="AD361" s="64">
        <f t="shared" si="201"/>
        <v>0.84033613445378141</v>
      </c>
    </row>
    <row r="362" spans="1:37" ht="67.5" outlineLevel="2" x14ac:dyDescent="0.25">
      <c r="A362" s="236" t="s">
        <v>1446</v>
      </c>
      <c r="B362" s="376" t="s">
        <v>1285</v>
      </c>
      <c r="C362" s="153" t="s">
        <v>1287</v>
      </c>
      <c r="D362" s="244" t="s">
        <v>312</v>
      </c>
      <c r="E362" s="153">
        <v>100</v>
      </c>
      <c r="F362" s="153">
        <v>25</v>
      </c>
      <c r="G362" s="153">
        <v>33.33</v>
      </c>
      <c r="H362" s="131">
        <f>G362/F362</f>
        <v>1.3331999999999999</v>
      </c>
      <c r="I362" s="257">
        <f t="shared" ref="I362" si="220">G362/E362</f>
        <v>0.33329999999999999</v>
      </c>
      <c r="J362" s="130" t="s">
        <v>1778</v>
      </c>
      <c r="K362" s="373"/>
      <c r="L362" s="126" t="s">
        <v>664</v>
      </c>
      <c r="M362" s="40">
        <v>1</v>
      </c>
      <c r="N362" s="41">
        <f t="shared" si="218"/>
        <v>1</v>
      </c>
      <c r="O362" s="41">
        <f t="shared" si="219"/>
        <v>0.33329999999999999</v>
      </c>
      <c r="AC362" s="64">
        <f t="shared" si="199"/>
        <v>1.3331999999999999</v>
      </c>
      <c r="AD362" s="64">
        <f t="shared" si="201"/>
        <v>0.33329999999999999</v>
      </c>
    </row>
    <row r="363" spans="1:37" ht="45" outlineLevel="2" x14ac:dyDescent="0.25">
      <c r="A363" s="236" t="s">
        <v>517</v>
      </c>
      <c r="B363" s="376" t="s">
        <v>1774</v>
      </c>
      <c r="C363" s="153" t="s">
        <v>1287</v>
      </c>
      <c r="D363" s="244" t="s">
        <v>312</v>
      </c>
      <c r="E363" s="153" t="s">
        <v>41</v>
      </c>
      <c r="F363" s="153">
        <v>3.5175999999999998</v>
      </c>
      <c r="G363" s="153">
        <v>3.5175999999999998</v>
      </c>
      <c r="H363" s="131">
        <f>G363/F363</f>
        <v>1</v>
      </c>
      <c r="I363" s="257" t="s">
        <v>41</v>
      </c>
      <c r="J363" s="373" t="s">
        <v>41</v>
      </c>
      <c r="K363" s="373" t="s">
        <v>41</v>
      </c>
      <c r="L363" s="126" t="s">
        <v>664</v>
      </c>
      <c r="M363" s="40">
        <v>1</v>
      </c>
      <c r="N363" s="41">
        <f t="shared" si="218"/>
        <v>1</v>
      </c>
      <c r="O363" s="41" t="s">
        <v>41</v>
      </c>
      <c r="AC363" s="64">
        <f t="shared" si="199"/>
        <v>1</v>
      </c>
      <c r="AD363" s="64" t="str">
        <f t="shared" si="201"/>
        <v>-</v>
      </c>
    </row>
    <row r="364" spans="1:37" ht="45" outlineLevel="2" x14ac:dyDescent="0.25">
      <c r="A364" s="236" t="s">
        <v>1447</v>
      </c>
      <c r="B364" s="376" t="s">
        <v>1775</v>
      </c>
      <c r="C364" s="153" t="s">
        <v>1287</v>
      </c>
      <c r="D364" s="244" t="s">
        <v>312</v>
      </c>
      <c r="E364" s="153" t="s">
        <v>41</v>
      </c>
      <c r="F364" s="153">
        <v>70.242599999999996</v>
      </c>
      <c r="G364" s="153">
        <v>70.242599999999996</v>
      </c>
      <c r="H364" s="131">
        <f t="shared" si="217"/>
        <v>1</v>
      </c>
      <c r="I364" s="131" t="s">
        <v>41</v>
      </c>
      <c r="J364" s="373" t="s">
        <v>41</v>
      </c>
      <c r="K364" s="373" t="s">
        <v>41</v>
      </c>
      <c r="L364" s="126" t="s">
        <v>664</v>
      </c>
      <c r="M364" s="40">
        <v>1</v>
      </c>
      <c r="N364" s="41">
        <f t="shared" si="218"/>
        <v>1</v>
      </c>
      <c r="O364" s="41" t="s">
        <v>41</v>
      </c>
      <c r="AC364" s="64">
        <f t="shared" si="199"/>
        <v>1</v>
      </c>
      <c r="AD364" s="64" t="str">
        <f t="shared" si="201"/>
        <v>-</v>
      </c>
    </row>
    <row r="365" spans="1:37" ht="56.25" outlineLevel="2" x14ac:dyDescent="0.25">
      <c r="A365" s="236" t="s">
        <v>1773</v>
      </c>
      <c r="B365" s="376" t="s">
        <v>1776</v>
      </c>
      <c r="C365" s="153" t="s">
        <v>1287</v>
      </c>
      <c r="D365" s="244" t="s">
        <v>312</v>
      </c>
      <c r="E365" s="153" t="s">
        <v>41</v>
      </c>
      <c r="F365" s="153">
        <v>92.424700000000001</v>
      </c>
      <c r="G365" s="153">
        <v>94.993899999999996</v>
      </c>
      <c r="H365" s="131">
        <f t="shared" si="217"/>
        <v>1.0277977640176272</v>
      </c>
      <c r="I365" s="131" t="s">
        <v>41</v>
      </c>
      <c r="J365" s="373" t="s">
        <v>41</v>
      </c>
      <c r="K365" s="373" t="s">
        <v>41</v>
      </c>
      <c r="L365" s="126" t="s">
        <v>664</v>
      </c>
      <c r="M365" s="40">
        <v>1</v>
      </c>
      <c r="N365" s="41">
        <f t="shared" si="218"/>
        <v>1</v>
      </c>
      <c r="O365" s="41" t="s">
        <v>41</v>
      </c>
      <c r="AC365" s="64">
        <f t="shared" si="199"/>
        <v>1.0277977640176272</v>
      </c>
      <c r="AD365" s="64" t="str">
        <f t="shared" si="201"/>
        <v>-</v>
      </c>
    </row>
    <row r="366" spans="1:37" s="45" customFormat="1" ht="25.5" customHeight="1" outlineLevel="1" x14ac:dyDescent="0.25">
      <c r="A366" s="65" t="s">
        <v>157</v>
      </c>
      <c r="B366" s="621" t="s">
        <v>550</v>
      </c>
      <c r="C366" s="622"/>
      <c r="D366" s="622"/>
      <c r="E366" s="622"/>
      <c r="F366" s="622"/>
      <c r="G366" s="623"/>
      <c r="H366" s="66">
        <f>AVERAGE(N367:N373)</f>
        <v>1</v>
      </c>
      <c r="I366" s="66">
        <v>1</v>
      </c>
      <c r="J366" s="67"/>
      <c r="K366" s="67"/>
      <c r="L366" s="68"/>
      <c r="M366" s="40"/>
      <c r="N366" s="188"/>
      <c r="O366" s="188"/>
      <c r="P366" s="47"/>
      <c r="Q366" s="47"/>
      <c r="R366" s="98">
        <f>COUNTA(C367:C373)</f>
        <v>7</v>
      </c>
      <c r="S366" s="97">
        <v>0</v>
      </c>
      <c r="T366" s="98">
        <f>COUNTIFS(AC367:AC373,"&gt;1,50")</f>
        <v>1</v>
      </c>
      <c r="U366" s="98">
        <f>COUNTIFS(AC367:AC373,"&gt;=0,995",AC367:AC373,"&lt;=1,5")</f>
        <v>6</v>
      </c>
      <c r="V366" s="98">
        <f>COUNTIFS(AC367:AC373,"&gt;=0,85",AC367:AC373,"&lt;0,995")</f>
        <v>0</v>
      </c>
      <c r="W366" s="98">
        <f>COUNTIFS(AC367:AC373,"&lt;0,85")</f>
        <v>0</v>
      </c>
      <c r="X366" s="50"/>
      <c r="Z366" s="90">
        <f>COUNTIFS(AD367:AD373,"&gt;=1,01")</f>
        <v>0</v>
      </c>
      <c r="AA366" s="90">
        <f>COUNTIFS(AD367:AD373,"&gt;=0,99",AD367:AD373,"&lt;1,01")</f>
        <v>0</v>
      </c>
      <c r="AB366" s="91">
        <f>COUNTIFS(AD367:AD373,"&lt;0,99")</f>
        <v>0</v>
      </c>
      <c r="AC366" s="64"/>
      <c r="AD366" s="64"/>
      <c r="AK366" s="45">
        <f>SUM(T366:X366)-R366</f>
        <v>0</v>
      </c>
    </row>
    <row r="367" spans="1:37" ht="67.5" outlineLevel="2" x14ac:dyDescent="0.25">
      <c r="A367" s="236" t="s">
        <v>519</v>
      </c>
      <c r="B367" s="376" t="s">
        <v>552</v>
      </c>
      <c r="C367" s="375" t="s">
        <v>314</v>
      </c>
      <c r="D367" s="128" t="s">
        <v>331</v>
      </c>
      <c r="E367" s="153">
        <v>100</v>
      </c>
      <c r="F367" s="153">
        <v>100</v>
      </c>
      <c r="G367" s="153">
        <v>100</v>
      </c>
      <c r="H367" s="131">
        <f t="shared" ref="H367" si="221">G367/F367</f>
        <v>1</v>
      </c>
      <c r="I367" s="131" t="s">
        <v>41</v>
      </c>
      <c r="J367" s="373" t="s">
        <v>41</v>
      </c>
      <c r="K367" s="373" t="s">
        <v>41</v>
      </c>
      <c r="L367" s="131" t="s">
        <v>664</v>
      </c>
      <c r="M367" s="40">
        <v>0</v>
      </c>
      <c r="N367" s="41">
        <f t="shared" ref="N367:N373" si="222">IF(H367&gt;1,1,H367)</f>
        <v>1</v>
      </c>
      <c r="O367" s="41" t="s">
        <v>41</v>
      </c>
      <c r="AC367" s="64">
        <f t="shared" si="199"/>
        <v>1</v>
      </c>
      <c r="AD367" s="64" t="str">
        <f t="shared" si="201"/>
        <v>-</v>
      </c>
    </row>
    <row r="368" spans="1:37" ht="45" outlineLevel="2" x14ac:dyDescent="0.25">
      <c r="A368" s="236" t="s">
        <v>1448</v>
      </c>
      <c r="B368" s="376" t="s">
        <v>554</v>
      </c>
      <c r="C368" s="375" t="s">
        <v>555</v>
      </c>
      <c r="D368" s="128" t="s">
        <v>331</v>
      </c>
      <c r="E368" s="153">
        <v>120.2</v>
      </c>
      <c r="F368" s="153">
        <v>70</v>
      </c>
      <c r="G368" s="153">
        <v>126.27</v>
      </c>
      <c r="H368" s="131">
        <f>G368/F368</f>
        <v>1.8038571428571428</v>
      </c>
      <c r="I368" s="257" t="s">
        <v>41</v>
      </c>
      <c r="J368" s="373" t="s">
        <v>41</v>
      </c>
      <c r="K368" s="373" t="s">
        <v>41</v>
      </c>
      <c r="L368" s="131" t="s">
        <v>664</v>
      </c>
      <c r="M368" s="40">
        <v>0</v>
      </c>
      <c r="N368" s="41">
        <f t="shared" si="222"/>
        <v>1</v>
      </c>
      <c r="O368" s="41" t="s">
        <v>41</v>
      </c>
      <c r="AC368" s="64">
        <f t="shared" si="199"/>
        <v>1.8038571428571428</v>
      </c>
      <c r="AD368" s="64" t="str">
        <f t="shared" si="201"/>
        <v>-</v>
      </c>
    </row>
    <row r="369" spans="1:37" ht="45" outlineLevel="2" x14ac:dyDescent="0.25">
      <c r="A369" s="236" t="s">
        <v>520</v>
      </c>
      <c r="B369" s="376" t="s">
        <v>1289</v>
      </c>
      <c r="C369" s="375" t="s">
        <v>556</v>
      </c>
      <c r="D369" s="127" t="s">
        <v>331</v>
      </c>
      <c r="E369" s="153">
        <v>44</v>
      </c>
      <c r="F369" s="153">
        <v>44.5</v>
      </c>
      <c r="G369" s="153">
        <v>46.77</v>
      </c>
      <c r="H369" s="131">
        <f t="shared" ref="H369" si="223">G369/F369</f>
        <v>1.0510112359550563</v>
      </c>
      <c r="I369" s="257" t="s">
        <v>41</v>
      </c>
      <c r="J369" s="373" t="s">
        <v>41</v>
      </c>
      <c r="K369" s="373" t="s">
        <v>41</v>
      </c>
      <c r="L369" s="131" t="s">
        <v>664</v>
      </c>
      <c r="M369" s="40">
        <v>0</v>
      </c>
      <c r="N369" s="41">
        <f t="shared" si="222"/>
        <v>1</v>
      </c>
      <c r="O369" s="41" t="s">
        <v>41</v>
      </c>
      <c r="AC369" s="64">
        <f t="shared" si="199"/>
        <v>1.0510112359550563</v>
      </c>
      <c r="AD369" s="64" t="str">
        <f t="shared" si="201"/>
        <v>-</v>
      </c>
    </row>
    <row r="370" spans="1:37" ht="45" outlineLevel="2" x14ac:dyDescent="0.25">
      <c r="A370" s="236" t="s">
        <v>895</v>
      </c>
      <c r="B370" s="376" t="s">
        <v>558</v>
      </c>
      <c r="C370" s="375" t="s">
        <v>555</v>
      </c>
      <c r="D370" s="127" t="s">
        <v>331</v>
      </c>
      <c r="E370" s="153">
        <v>11.52</v>
      </c>
      <c r="F370" s="153">
        <v>8.5</v>
      </c>
      <c r="G370" s="153">
        <v>12.17</v>
      </c>
      <c r="H370" s="131">
        <f>G370/F370</f>
        <v>1.4317647058823528</v>
      </c>
      <c r="I370" s="257" t="s">
        <v>41</v>
      </c>
      <c r="J370" s="373" t="s">
        <v>1779</v>
      </c>
      <c r="K370" s="373" t="s">
        <v>41</v>
      </c>
      <c r="L370" s="131" t="s">
        <v>664</v>
      </c>
      <c r="M370" s="40">
        <v>0</v>
      </c>
      <c r="N370" s="41">
        <f t="shared" si="222"/>
        <v>1</v>
      </c>
      <c r="O370" s="41" t="s">
        <v>41</v>
      </c>
      <c r="AC370" s="64">
        <f t="shared" si="199"/>
        <v>1.4317647058823528</v>
      </c>
      <c r="AD370" s="64" t="str">
        <f t="shared" si="201"/>
        <v>-</v>
      </c>
    </row>
    <row r="371" spans="1:37" ht="45" outlineLevel="2" x14ac:dyDescent="0.25">
      <c r="A371" s="236" t="s">
        <v>896</v>
      </c>
      <c r="B371" s="376" t="s">
        <v>559</v>
      </c>
      <c r="C371" s="375" t="s">
        <v>320</v>
      </c>
      <c r="D371" s="127" t="s">
        <v>331</v>
      </c>
      <c r="E371" s="153">
        <v>4590</v>
      </c>
      <c r="F371" s="153">
        <v>4100</v>
      </c>
      <c r="G371" s="153">
        <v>4671</v>
      </c>
      <c r="H371" s="131">
        <f>G371/F371</f>
        <v>1.1392682926829267</v>
      </c>
      <c r="I371" s="257" t="s">
        <v>41</v>
      </c>
      <c r="J371" s="373" t="s">
        <v>41</v>
      </c>
      <c r="K371" s="373" t="s">
        <v>41</v>
      </c>
      <c r="L371" s="131" t="s">
        <v>664</v>
      </c>
      <c r="M371" s="40">
        <v>0</v>
      </c>
      <c r="N371" s="41">
        <f t="shared" si="222"/>
        <v>1</v>
      </c>
      <c r="O371" s="41" t="s">
        <v>41</v>
      </c>
      <c r="AC371" s="64">
        <f t="shared" si="199"/>
        <v>1.1392682926829267</v>
      </c>
      <c r="AD371" s="64" t="str">
        <f t="shared" si="201"/>
        <v>-</v>
      </c>
    </row>
    <row r="372" spans="1:37" ht="45" outlineLevel="2" x14ac:dyDescent="0.25">
      <c r="A372" s="236" t="s">
        <v>897</v>
      </c>
      <c r="B372" s="376" t="s">
        <v>560</v>
      </c>
      <c r="C372" s="375" t="s">
        <v>320</v>
      </c>
      <c r="D372" s="373" t="s">
        <v>331</v>
      </c>
      <c r="E372" s="153">
        <v>5714</v>
      </c>
      <c r="F372" s="153">
        <v>5600</v>
      </c>
      <c r="G372" s="153">
        <v>5793</v>
      </c>
      <c r="H372" s="131">
        <f>G372/F372</f>
        <v>1.0344642857142856</v>
      </c>
      <c r="I372" s="311" t="s">
        <v>41</v>
      </c>
      <c r="J372" s="439" t="s">
        <v>41</v>
      </c>
      <c r="K372" s="373" t="s">
        <v>41</v>
      </c>
      <c r="L372" s="131" t="s">
        <v>664</v>
      </c>
      <c r="M372" s="40">
        <v>0</v>
      </c>
      <c r="N372" s="41">
        <f t="shared" ref="N372" si="224">IF(H372&gt;1,1,H372)</f>
        <v>1</v>
      </c>
      <c r="O372" s="41" t="s">
        <v>41</v>
      </c>
      <c r="AC372" s="64">
        <f t="shared" ref="AC372" si="225">H372</f>
        <v>1.0344642857142856</v>
      </c>
      <c r="AD372" s="64" t="str">
        <f t="shared" ref="AD372" si="226">I372</f>
        <v>-</v>
      </c>
    </row>
    <row r="373" spans="1:37" ht="45" outlineLevel="2" x14ac:dyDescent="0.25">
      <c r="A373" s="236" t="s">
        <v>898</v>
      </c>
      <c r="B373" s="376" t="s">
        <v>561</v>
      </c>
      <c r="C373" s="375" t="s">
        <v>556</v>
      </c>
      <c r="D373" s="127" t="s">
        <v>331</v>
      </c>
      <c r="E373" s="153">
        <v>16.899999999999999</v>
      </c>
      <c r="F373" s="153">
        <v>14.9</v>
      </c>
      <c r="G373" s="153">
        <v>16.899999999999999</v>
      </c>
      <c r="H373" s="131">
        <f>G373/F373</f>
        <v>1.1342281879194629</v>
      </c>
      <c r="I373" s="311" t="s">
        <v>41</v>
      </c>
      <c r="J373" s="439" t="s">
        <v>41</v>
      </c>
      <c r="K373" s="373" t="s">
        <v>41</v>
      </c>
      <c r="L373" s="131" t="s">
        <v>664</v>
      </c>
      <c r="M373" s="40">
        <v>0</v>
      </c>
      <c r="N373" s="41">
        <f t="shared" si="222"/>
        <v>1</v>
      </c>
      <c r="O373" s="41" t="s">
        <v>41</v>
      </c>
      <c r="AC373" s="64">
        <f t="shared" si="199"/>
        <v>1.1342281879194629</v>
      </c>
      <c r="AD373" s="64" t="str">
        <f t="shared" si="201"/>
        <v>-</v>
      </c>
    </row>
    <row r="374" spans="1:37" s="45" customFormat="1" ht="26.25" customHeight="1" outlineLevel="1" x14ac:dyDescent="0.25">
      <c r="A374" s="65" t="s">
        <v>158</v>
      </c>
      <c r="B374" s="619" t="s">
        <v>562</v>
      </c>
      <c r="C374" s="619"/>
      <c r="D374" s="619"/>
      <c r="E374" s="619"/>
      <c r="F374" s="619"/>
      <c r="G374" s="619"/>
      <c r="H374" s="66">
        <f>AVERAGE(N375:N380)</f>
        <v>0.96713615023474186</v>
      </c>
      <c r="I374" s="66">
        <f>AVERAGE(O375:O380)</f>
        <v>1.1424691358024692</v>
      </c>
      <c r="J374" s="67"/>
      <c r="K374" s="67"/>
      <c r="L374" s="68"/>
      <c r="M374" s="40"/>
      <c r="N374" s="188"/>
      <c r="O374" s="188"/>
      <c r="P374" s="47"/>
      <c r="Q374" s="47"/>
      <c r="R374" s="98">
        <f>COUNTA(C375:C380)</f>
        <v>6</v>
      </c>
      <c r="S374" s="97">
        <v>0</v>
      </c>
      <c r="T374" s="98">
        <f>COUNTIFS(AC375:AC380,"&gt;1,50")</f>
        <v>2</v>
      </c>
      <c r="U374" s="98">
        <f>COUNTIFS(AC375:AC380,"&gt;=0,995",AC375:AC380,"&lt;=1,5")</f>
        <v>3</v>
      </c>
      <c r="V374" s="98">
        <f>COUNTIFS(AC375:AC380,"&gt;=0,85",AC375:AC380,"&lt;0,995")</f>
        <v>0</v>
      </c>
      <c r="W374" s="98">
        <f>COUNTIFS(AC375:AC380,"&lt;0,85")</f>
        <v>1</v>
      </c>
      <c r="X374" s="50"/>
      <c r="Z374" s="90">
        <f>COUNTIFS(AD375:AD380,"&gt;=1,01")</f>
        <v>4</v>
      </c>
      <c r="AA374" s="90">
        <f>COUNTIFS(AD375:AD380,"&gt;=0,99",AD375:AD380,"&lt;1,01")</f>
        <v>1</v>
      </c>
      <c r="AB374" s="91">
        <f>COUNTIFS(AD375:AD380,"&lt;0,99")</f>
        <v>0</v>
      </c>
      <c r="AC374" s="64"/>
      <c r="AD374" s="64"/>
      <c r="AK374" s="45">
        <f>SUM(T374:X374)-R374</f>
        <v>0</v>
      </c>
    </row>
    <row r="375" spans="1:37" ht="45" outlineLevel="2" x14ac:dyDescent="0.25">
      <c r="A375" s="236" t="s">
        <v>521</v>
      </c>
      <c r="B375" s="376" t="s">
        <v>564</v>
      </c>
      <c r="C375" s="217" t="s">
        <v>334</v>
      </c>
      <c r="D375" s="251" t="s">
        <v>298</v>
      </c>
      <c r="E375" s="153">
        <v>82</v>
      </c>
      <c r="F375" s="153">
        <v>87</v>
      </c>
      <c r="G375" s="153">
        <v>81</v>
      </c>
      <c r="H375" s="131">
        <f>F375/G375</f>
        <v>1.0740740740740742</v>
      </c>
      <c r="I375" s="131">
        <f>E375/G375</f>
        <v>1.0123456790123457</v>
      </c>
      <c r="J375" s="373" t="s">
        <v>41</v>
      </c>
      <c r="K375" s="373" t="s">
        <v>41</v>
      </c>
      <c r="L375" s="127" t="s">
        <v>664</v>
      </c>
      <c r="M375" s="40">
        <v>-1</v>
      </c>
      <c r="N375" s="41">
        <f t="shared" ref="N375:N377" si="227">IF(H375&gt;1,1,H375)</f>
        <v>1</v>
      </c>
      <c r="O375" s="41">
        <f t="shared" ref="O375:O426" si="228">IF(I375&gt;1.25,1.25,I375)</f>
        <v>1.0123456790123457</v>
      </c>
      <c r="AC375" s="64">
        <f t="shared" si="199"/>
        <v>1.0740740740740742</v>
      </c>
      <c r="AD375" s="64">
        <f t="shared" si="201"/>
        <v>1.0123456790123457</v>
      </c>
    </row>
    <row r="376" spans="1:37" ht="45" outlineLevel="2" x14ac:dyDescent="0.25">
      <c r="A376" s="236" t="s">
        <v>522</v>
      </c>
      <c r="B376" s="376" t="s">
        <v>565</v>
      </c>
      <c r="C376" s="217" t="s">
        <v>334</v>
      </c>
      <c r="D376" s="251" t="s">
        <v>298</v>
      </c>
      <c r="E376" s="153">
        <v>42</v>
      </c>
      <c r="F376" s="153">
        <v>71</v>
      </c>
      <c r="G376" s="153">
        <v>35</v>
      </c>
      <c r="H376" s="131">
        <f>F376/G376</f>
        <v>2.0285714285714285</v>
      </c>
      <c r="I376" s="131">
        <f>E376/G376</f>
        <v>1.2</v>
      </c>
      <c r="J376" s="373" t="s">
        <v>1152</v>
      </c>
      <c r="K376" s="373" t="s">
        <v>41</v>
      </c>
      <c r="L376" s="127" t="s">
        <v>664</v>
      </c>
      <c r="M376" s="40">
        <v>-1</v>
      </c>
      <c r="N376" s="41">
        <f t="shared" si="227"/>
        <v>1</v>
      </c>
      <c r="O376" s="41">
        <f t="shared" si="228"/>
        <v>1.2</v>
      </c>
      <c r="AC376" s="64">
        <f t="shared" si="199"/>
        <v>2.0285714285714285</v>
      </c>
      <c r="AD376" s="64">
        <f t="shared" si="201"/>
        <v>1.2</v>
      </c>
    </row>
    <row r="377" spans="1:37" ht="56.25" outlineLevel="2" x14ac:dyDescent="0.25">
      <c r="A377" s="236" t="s">
        <v>523</v>
      </c>
      <c r="B377" s="376" t="s">
        <v>566</v>
      </c>
      <c r="C377" s="375" t="s">
        <v>314</v>
      </c>
      <c r="D377" s="373" t="s">
        <v>331</v>
      </c>
      <c r="E377" s="153">
        <v>92.4</v>
      </c>
      <c r="F377" s="153">
        <v>51</v>
      </c>
      <c r="G377" s="153">
        <v>92.4</v>
      </c>
      <c r="H377" s="131">
        <f>G377/F377</f>
        <v>1.8117647058823529</v>
      </c>
      <c r="I377" s="131">
        <f>G377/E377</f>
        <v>1</v>
      </c>
      <c r="J377" s="373" t="s">
        <v>1152</v>
      </c>
      <c r="K377" s="373" t="s">
        <v>41</v>
      </c>
      <c r="L377" s="127" t="s">
        <v>664</v>
      </c>
      <c r="M377" s="40">
        <v>0</v>
      </c>
      <c r="N377" s="41">
        <f t="shared" si="227"/>
        <v>1</v>
      </c>
      <c r="O377" s="41" t="s">
        <v>41</v>
      </c>
      <c r="AC377" s="64">
        <f t="shared" si="199"/>
        <v>1.8117647058823529</v>
      </c>
      <c r="AD377" s="64" t="s">
        <v>41</v>
      </c>
    </row>
    <row r="378" spans="1:37" ht="45" outlineLevel="2" x14ac:dyDescent="0.25">
      <c r="A378" s="236" t="s">
        <v>525</v>
      </c>
      <c r="B378" s="376" t="s">
        <v>568</v>
      </c>
      <c r="C378" s="375" t="s">
        <v>314</v>
      </c>
      <c r="D378" s="244" t="s">
        <v>312</v>
      </c>
      <c r="E378" s="153">
        <v>100</v>
      </c>
      <c r="F378" s="153">
        <v>100</v>
      </c>
      <c r="G378" s="153">
        <v>100</v>
      </c>
      <c r="H378" s="131">
        <f>G378/F378</f>
        <v>1</v>
      </c>
      <c r="I378" s="131">
        <f>G378/E378</f>
        <v>1</v>
      </c>
      <c r="J378" s="373" t="s">
        <v>41</v>
      </c>
      <c r="K378" s="373" t="s">
        <v>41</v>
      </c>
      <c r="L378" s="127" t="s">
        <v>664</v>
      </c>
      <c r="M378" s="40">
        <v>1</v>
      </c>
      <c r="N378" s="41">
        <f t="shared" ref="N378:N380" si="229">IF(H378&gt;1,1,H378)</f>
        <v>1</v>
      </c>
      <c r="O378" s="41">
        <f t="shared" ref="O378:O380" si="230">IF(I378&gt;1.25,1.25,I378)</f>
        <v>1</v>
      </c>
      <c r="AC378" s="64">
        <f t="shared" si="199"/>
        <v>1</v>
      </c>
      <c r="AD378" s="64">
        <f t="shared" si="201"/>
        <v>1</v>
      </c>
    </row>
    <row r="379" spans="1:37" ht="45" outlineLevel="2" x14ac:dyDescent="0.25">
      <c r="A379" s="236" t="s">
        <v>526</v>
      </c>
      <c r="B379" s="376" t="s">
        <v>569</v>
      </c>
      <c r="C379" s="375" t="s">
        <v>334</v>
      </c>
      <c r="D379" s="251" t="s">
        <v>298</v>
      </c>
      <c r="E379" s="153">
        <v>9.73</v>
      </c>
      <c r="F379" s="153">
        <v>5.13</v>
      </c>
      <c r="G379" s="153">
        <v>6.39</v>
      </c>
      <c r="H379" s="131">
        <f>F379/G379</f>
        <v>0.80281690140845074</v>
      </c>
      <c r="I379" s="131">
        <f>E379/G379</f>
        <v>1.5226917057902976</v>
      </c>
      <c r="J379" s="373" t="s">
        <v>1152</v>
      </c>
      <c r="K379" s="373" t="s">
        <v>41</v>
      </c>
      <c r="L379" s="127" t="s">
        <v>664</v>
      </c>
      <c r="M379" s="40">
        <v>-1</v>
      </c>
      <c r="N379" s="41">
        <f t="shared" si="229"/>
        <v>0.80281690140845074</v>
      </c>
      <c r="O379" s="41">
        <f t="shared" si="230"/>
        <v>1.25</v>
      </c>
      <c r="AC379" s="64">
        <f t="shared" si="199"/>
        <v>0.80281690140845074</v>
      </c>
      <c r="AD379" s="64">
        <f t="shared" si="201"/>
        <v>1.5226917057902976</v>
      </c>
    </row>
    <row r="380" spans="1:37" ht="45" outlineLevel="2" x14ac:dyDescent="0.25">
      <c r="A380" s="236" t="s">
        <v>527</v>
      </c>
      <c r="B380" s="376" t="s">
        <v>1291</v>
      </c>
      <c r="C380" s="375" t="s">
        <v>334</v>
      </c>
      <c r="D380" s="251" t="s">
        <v>298</v>
      </c>
      <c r="E380" s="153">
        <v>2.0699999999999998</v>
      </c>
      <c r="F380" s="153">
        <v>1.37</v>
      </c>
      <c r="G380" s="153">
        <v>1.31</v>
      </c>
      <c r="H380" s="131">
        <f>F380/G380</f>
        <v>1.0458015267175573</v>
      </c>
      <c r="I380" s="131">
        <f>E380/G380</f>
        <v>1.580152671755725</v>
      </c>
      <c r="J380" s="373" t="s">
        <v>41</v>
      </c>
      <c r="K380" s="373" t="s">
        <v>41</v>
      </c>
      <c r="L380" s="127" t="s">
        <v>664</v>
      </c>
      <c r="M380" s="40">
        <v>-1</v>
      </c>
      <c r="N380" s="41">
        <f t="shared" si="229"/>
        <v>1</v>
      </c>
      <c r="O380" s="41">
        <f t="shared" si="230"/>
        <v>1.25</v>
      </c>
      <c r="AC380" s="64">
        <f t="shared" si="199"/>
        <v>1.0458015267175573</v>
      </c>
      <c r="AD380" s="64">
        <f t="shared" si="201"/>
        <v>1.580152671755725</v>
      </c>
    </row>
    <row r="381" spans="1:37" s="45" customFormat="1" ht="24.75" customHeight="1" x14ac:dyDescent="0.25">
      <c r="A381" s="401" t="s">
        <v>160</v>
      </c>
      <c r="B381" s="624" t="s">
        <v>904</v>
      </c>
      <c r="C381" s="624"/>
      <c r="D381" s="624"/>
      <c r="E381" s="624"/>
      <c r="F381" s="624"/>
      <c r="G381" s="624"/>
      <c r="H381" s="402">
        <f>AVERAGE(N382:N385,N387:N395,N399:N402,N404:N406,N408:N410)</f>
        <v>1</v>
      </c>
      <c r="I381" s="402">
        <f>AVERAGE(O382:O385,O387:O395,O399:O402,O404:O406,O408:O410)</f>
        <v>0.91642755002509546</v>
      </c>
      <c r="J381" s="403"/>
      <c r="K381" s="403"/>
      <c r="L381" s="404"/>
      <c r="M381" s="61"/>
      <c r="N381" s="41"/>
      <c r="O381" s="41"/>
      <c r="P381" s="47"/>
      <c r="Q381" s="47"/>
      <c r="R381" s="104">
        <f>COUNTA(C382:C410)</f>
        <v>25</v>
      </c>
      <c r="S381" s="96">
        <f>R381-T381-U381-V381-W381</f>
        <v>8</v>
      </c>
      <c r="T381" s="104">
        <f>COUNTIFS(AC382:AC410,"&gt;1,50")</f>
        <v>2</v>
      </c>
      <c r="U381" s="104">
        <f>COUNTIFS(AC382:AC410,"&gt;=0,995",AC382:AC410,"&lt;=1,5")</f>
        <v>15</v>
      </c>
      <c r="V381" s="104">
        <f>COUNTIFS(AC382:AC410,"&gt;=0,85",AC382:AC410,"&lt;0,995")</f>
        <v>0</v>
      </c>
      <c r="W381" s="104">
        <f>COUNTIFS(AC382:AC410,"&lt;0,85")</f>
        <v>0</v>
      </c>
      <c r="X381" s="47"/>
      <c r="Z381" s="94">
        <f>COUNTIFS(AD382:AD410,"&gt;=1,01")</f>
        <v>0</v>
      </c>
      <c r="AA381" s="94">
        <f>COUNTIFS(AD382:AD410,"&gt;=0,99",AD382:AD410,"&lt;1,01")</f>
        <v>0</v>
      </c>
      <c r="AB381" s="95">
        <f>COUNTIFS(AD382:AD410,"&lt;0,99")</f>
        <v>1</v>
      </c>
      <c r="AC381" s="64"/>
      <c r="AD381" s="64"/>
      <c r="AK381" s="45">
        <f>SUM(T381:X381)-R381</f>
        <v>-8</v>
      </c>
    </row>
    <row r="382" spans="1:37" ht="213.75" outlineLevel="2" x14ac:dyDescent="0.25">
      <c r="A382" s="236" t="s">
        <v>535</v>
      </c>
      <c r="B382" s="147" t="s">
        <v>905</v>
      </c>
      <c r="C382" s="216" t="s">
        <v>314</v>
      </c>
      <c r="D382" s="244" t="s">
        <v>312</v>
      </c>
      <c r="E382" s="153">
        <v>97.5</v>
      </c>
      <c r="F382" s="153">
        <v>101.8</v>
      </c>
      <c r="G382" s="153">
        <v>97.3</v>
      </c>
      <c r="H382" s="257">
        <f>G382/F382</f>
        <v>0.95579567779960706</v>
      </c>
      <c r="I382" s="257">
        <f t="shared" ref="I382:I385" si="231">G382/E382</f>
        <v>0.99794871794871787</v>
      </c>
      <c r="J382" s="415" t="s">
        <v>1560</v>
      </c>
      <c r="K382" s="415" t="s">
        <v>1226</v>
      </c>
      <c r="L382" s="39" t="s">
        <v>909</v>
      </c>
      <c r="M382" s="40">
        <v>1</v>
      </c>
      <c r="N382" s="41" t="s">
        <v>41</v>
      </c>
      <c r="O382" s="41" t="s">
        <v>41</v>
      </c>
      <c r="AC382" s="64" t="s">
        <v>41</v>
      </c>
      <c r="AD382" s="64" t="s">
        <v>41</v>
      </c>
    </row>
    <row r="383" spans="1:37" ht="111.75" customHeight="1" outlineLevel="2" x14ac:dyDescent="0.25">
      <c r="A383" s="236" t="s">
        <v>536</v>
      </c>
      <c r="B383" s="147" t="s">
        <v>906</v>
      </c>
      <c r="C383" s="216" t="s">
        <v>907</v>
      </c>
      <c r="D383" s="244" t="s">
        <v>312</v>
      </c>
      <c r="E383" s="153">
        <v>212.7</v>
      </c>
      <c r="F383" s="153">
        <v>167.9</v>
      </c>
      <c r="G383" s="153">
        <v>216.7</v>
      </c>
      <c r="H383" s="257">
        <f t="shared" ref="H383:H385" si="232">G383/F383</f>
        <v>1.2906491959499702</v>
      </c>
      <c r="I383" s="257">
        <f t="shared" si="231"/>
        <v>1.0188058298072402</v>
      </c>
      <c r="J383" s="415" t="s">
        <v>1561</v>
      </c>
      <c r="K383" s="415" t="s">
        <v>41</v>
      </c>
      <c r="L383" s="39" t="s">
        <v>909</v>
      </c>
      <c r="M383" s="40">
        <v>1</v>
      </c>
      <c r="N383" s="41" t="s">
        <v>41</v>
      </c>
      <c r="O383" s="41" t="s">
        <v>41</v>
      </c>
      <c r="AC383" s="64" t="s">
        <v>41</v>
      </c>
      <c r="AD383" s="64" t="s">
        <v>41</v>
      </c>
    </row>
    <row r="384" spans="1:37" ht="78.75" outlineLevel="2" x14ac:dyDescent="0.25">
      <c r="A384" s="236" t="s">
        <v>538</v>
      </c>
      <c r="B384" s="312" t="s">
        <v>571</v>
      </c>
      <c r="C384" s="270" t="s">
        <v>347</v>
      </c>
      <c r="D384" s="244" t="s">
        <v>312</v>
      </c>
      <c r="E384" s="153">
        <v>105.59699999999999</v>
      </c>
      <c r="F384" s="153">
        <v>86.6</v>
      </c>
      <c r="G384" s="153">
        <v>96.772000000000006</v>
      </c>
      <c r="H384" s="257">
        <f t="shared" si="232"/>
        <v>1.1174595842956121</v>
      </c>
      <c r="I384" s="257">
        <f t="shared" si="231"/>
        <v>0.91642755002509546</v>
      </c>
      <c r="J384" s="415" t="s">
        <v>1562</v>
      </c>
      <c r="K384" s="415" t="s">
        <v>41</v>
      </c>
      <c r="L384" s="39" t="s">
        <v>909</v>
      </c>
      <c r="M384" s="40">
        <v>1</v>
      </c>
      <c r="N384" s="41">
        <f t="shared" ref="N384" si="233">IF(H384&gt;1,1,H384)</f>
        <v>1</v>
      </c>
      <c r="O384" s="41">
        <f t="shared" si="228"/>
        <v>0.91642755002509546</v>
      </c>
      <c r="AC384" s="64">
        <f t="shared" si="199"/>
        <v>1.1174595842956121</v>
      </c>
      <c r="AD384" s="64">
        <f t="shared" si="201"/>
        <v>0.91642755002509546</v>
      </c>
    </row>
    <row r="385" spans="1:37" ht="47.25" customHeight="1" outlineLevel="2" x14ac:dyDescent="0.25">
      <c r="A385" s="236" t="s">
        <v>1449</v>
      </c>
      <c r="B385" s="42" t="s">
        <v>908</v>
      </c>
      <c r="C385" s="62" t="s">
        <v>907</v>
      </c>
      <c r="D385" s="244" t="s">
        <v>312</v>
      </c>
      <c r="E385" s="153">
        <v>5.9</v>
      </c>
      <c r="F385" s="153">
        <v>4.8</v>
      </c>
      <c r="G385" s="153">
        <v>4.8</v>
      </c>
      <c r="H385" s="257">
        <f t="shared" si="232"/>
        <v>1</v>
      </c>
      <c r="I385" s="257">
        <f t="shared" si="231"/>
        <v>0.81355932203389825</v>
      </c>
      <c r="J385" s="415" t="s">
        <v>1563</v>
      </c>
      <c r="K385" s="415" t="s">
        <v>41</v>
      </c>
      <c r="L385" s="39" t="s">
        <v>654</v>
      </c>
      <c r="M385" s="40">
        <v>1</v>
      </c>
      <c r="N385" s="41" t="s">
        <v>41</v>
      </c>
      <c r="O385" s="41" t="s">
        <v>41</v>
      </c>
      <c r="AC385" s="64" t="s">
        <v>41</v>
      </c>
      <c r="AD385" s="64" t="s">
        <v>41</v>
      </c>
    </row>
    <row r="386" spans="1:37" s="45" customFormat="1" ht="29.25" customHeight="1" outlineLevel="1" x14ac:dyDescent="0.25">
      <c r="A386" s="65" t="s">
        <v>161</v>
      </c>
      <c r="B386" s="619" t="s">
        <v>910</v>
      </c>
      <c r="C386" s="619"/>
      <c r="D386" s="619"/>
      <c r="E386" s="619"/>
      <c r="F386" s="619"/>
      <c r="G386" s="619"/>
      <c r="H386" s="66">
        <f>AVERAGE(N387:N397)</f>
        <v>1</v>
      </c>
      <c r="I386" s="66">
        <v>1</v>
      </c>
      <c r="J386" s="67"/>
      <c r="K386" s="67"/>
      <c r="L386" s="68"/>
      <c r="M386" s="320"/>
      <c r="N386" s="53"/>
      <c r="O386" s="41">
        <f t="shared" si="228"/>
        <v>1</v>
      </c>
      <c r="P386" s="47"/>
      <c r="Q386" s="47"/>
      <c r="R386" s="98">
        <f>COUNTA(C387:C397)</f>
        <v>11</v>
      </c>
      <c r="S386" s="97">
        <f>R386-T386-U386-V386-W386</f>
        <v>1</v>
      </c>
      <c r="T386" s="98">
        <f>COUNTIFS(AC387:AC397,"&gt;1,50")</f>
        <v>1</v>
      </c>
      <c r="U386" s="98">
        <f>COUNTIFS(AC387:AC397,"&gt;=0,995",AC387:AC397,"&lt;=1,5")</f>
        <v>9</v>
      </c>
      <c r="V386" s="98">
        <f>COUNTIFS(AC387:AC397,"&gt;=0,85",AC387:AC397,"&lt;0,995")</f>
        <v>0</v>
      </c>
      <c r="W386" s="98">
        <f>COUNTIFS(AC387:AC397,"&lt;0,85")</f>
        <v>0</v>
      </c>
      <c r="X386" s="50">
        <v>1</v>
      </c>
      <c r="Z386" s="90">
        <f>COUNTIFS(AD387:AD397,"&gt;=1,01")</f>
        <v>0</v>
      </c>
      <c r="AA386" s="90">
        <f>COUNTIFS(AD387:AD397,"&gt;=0,99",AD387:AD397,"&lt;1,01")</f>
        <v>0</v>
      </c>
      <c r="AB386" s="91">
        <f>COUNTIFS(AD387:AD397,"&lt;0,99")</f>
        <v>0</v>
      </c>
      <c r="AC386" s="64"/>
      <c r="AD386" s="64"/>
      <c r="AK386" s="45">
        <f>SUM(T386:X386)-R386</f>
        <v>0</v>
      </c>
    </row>
    <row r="387" spans="1:37" ht="123.75" customHeight="1" outlineLevel="2" x14ac:dyDescent="0.25">
      <c r="A387" s="236" t="s">
        <v>541</v>
      </c>
      <c r="B387" s="42" t="s">
        <v>911</v>
      </c>
      <c r="C387" s="277" t="s">
        <v>583</v>
      </c>
      <c r="D387" s="127" t="s">
        <v>331</v>
      </c>
      <c r="E387" s="153">
        <v>1</v>
      </c>
      <c r="F387" s="153">
        <v>1</v>
      </c>
      <c r="G387" s="153">
        <v>1</v>
      </c>
      <c r="H387" s="313">
        <f>G387/F387</f>
        <v>1</v>
      </c>
      <c r="I387" s="313">
        <f>G387/E387</f>
        <v>1</v>
      </c>
      <c r="J387" s="131" t="s">
        <v>41</v>
      </c>
      <c r="K387" s="131" t="s">
        <v>41</v>
      </c>
      <c r="L387" s="39" t="s">
        <v>909</v>
      </c>
      <c r="M387" s="40">
        <v>0</v>
      </c>
      <c r="N387" s="41">
        <f t="shared" ref="N387:N394" si="234">IF(H387&gt;1,1,H387)</f>
        <v>1</v>
      </c>
      <c r="O387" s="41" t="s">
        <v>41</v>
      </c>
      <c r="AC387" s="64">
        <f t="shared" si="199"/>
        <v>1</v>
      </c>
      <c r="AD387" s="64" t="s">
        <v>41</v>
      </c>
    </row>
    <row r="388" spans="1:37" ht="141" customHeight="1" outlineLevel="2" x14ac:dyDescent="0.25">
      <c r="A388" s="236" t="s">
        <v>542</v>
      </c>
      <c r="B388" s="42" t="s">
        <v>912</v>
      </c>
      <c r="C388" s="277" t="s">
        <v>353</v>
      </c>
      <c r="D388" s="244" t="s">
        <v>312</v>
      </c>
      <c r="E388" s="153">
        <v>13</v>
      </c>
      <c r="F388" s="153">
        <v>13</v>
      </c>
      <c r="G388" s="153">
        <v>13</v>
      </c>
      <c r="H388" s="313">
        <f>G388/F388</f>
        <v>1</v>
      </c>
      <c r="I388" s="313">
        <f>G388/E388</f>
        <v>1</v>
      </c>
      <c r="J388" s="131" t="s">
        <v>41</v>
      </c>
      <c r="K388" s="131" t="s">
        <v>41</v>
      </c>
      <c r="L388" s="39" t="s">
        <v>909</v>
      </c>
      <c r="M388" s="40">
        <v>1</v>
      </c>
      <c r="N388" s="41">
        <f t="shared" si="234"/>
        <v>1</v>
      </c>
      <c r="O388" s="41" t="s">
        <v>41</v>
      </c>
      <c r="AC388" s="64">
        <f t="shared" si="199"/>
        <v>1</v>
      </c>
      <c r="AD388" s="64" t="s">
        <v>41</v>
      </c>
    </row>
    <row r="389" spans="1:37" ht="58.5" customHeight="1" outlineLevel="2" x14ac:dyDescent="0.25">
      <c r="A389" s="236" t="s">
        <v>543</v>
      </c>
      <c r="B389" s="42" t="s">
        <v>913</v>
      </c>
      <c r="C389" s="277" t="s">
        <v>353</v>
      </c>
      <c r="D389" s="244" t="s">
        <v>312</v>
      </c>
      <c r="E389" s="153">
        <v>229</v>
      </c>
      <c r="F389" s="153">
        <v>250</v>
      </c>
      <c r="G389" s="153">
        <v>302</v>
      </c>
      <c r="H389" s="313">
        <f>G389/F389</f>
        <v>1.208</v>
      </c>
      <c r="I389" s="313">
        <f>G389/E389</f>
        <v>1.3187772925764192</v>
      </c>
      <c r="J389" s="131" t="s">
        <v>1227</v>
      </c>
      <c r="K389" s="131" t="s">
        <v>41</v>
      </c>
      <c r="L389" s="39" t="s">
        <v>909</v>
      </c>
      <c r="M389" s="40">
        <v>1</v>
      </c>
      <c r="N389" s="41">
        <f t="shared" si="234"/>
        <v>1</v>
      </c>
      <c r="O389" s="41" t="s">
        <v>41</v>
      </c>
      <c r="AC389" s="64">
        <f t="shared" si="199"/>
        <v>1.208</v>
      </c>
      <c r="AD389" s="64" t="s">
        <v>41</v>
      </c>
    </row>
    <row r="390" spans="1:37" ht="66.75" customHeight="1" outlineLevel="2" x14ac:dyDescent="0.25">
      <c r="A390" s="236" t="s">
        <v>544</v>
      </c>
      <c r="B390" s="42" t="s">
        <v>914</v>
      </c>
      <c r="C390" s="277" t="s">
        <v>907</v>
      </c>
      <c r="D390" s="244" t="s">
        <v>312</v>
      </c>
      <c r="E390" s="153">
        <v>214.69</v>
      </c>
      <c r="F390" s="153">
        <v>200</v>
      </c>
      <c r="G390" s="153">
        <v>258</v>
      </c>
      <c r="H390" s="257">
        <f t="shared" ref="H390:H394" si="235">G390/F390</f>
        <v>1.29</v>
      </c>
      <c r="I390" s="257">
        <f t="shared" ref="I390:I394" si="236">G390/E390</f>
        <v>1.2017327309143415</v>
      </c>
      <c r="J390" s="131" t="s">
        <v>1033</v>
      </c>
      <c r="K390" s="131" t="s">
        <v>41</v>
      </c>
      <c r="L390" s="39" t="s">
        <v>909</v>
      </c>
      <c r="M390" s="40">
        <v>1</v>
      </c>
      <c r="N390" s="41">
        <f t="shared" si="234"/>
        <v>1</v>
      </c>
      <c r="O390" s="41" t="s">
        <v>41</v>
      </c>
      <c r="AC390" s="64">
        <f t="shared" si="199"/>
        <v>1.29</v>
      </c>
      <c r="AD390" s="64" t="s">
        <v>41</v>
      </c>
    </row>
    <row r="391" spans="1:37" ht="68.25" customHeight="1" outlineLevel="2" x14ac:dyDescent="0.25">
      <c r="A391" s="236" t="s">
        <v>1280</v>
      </c>
      <c r="B391" s="42" t="s">
        <v>915</v>
      </c>
      <c r="C391" s="277" t="s">
        <v>353</v>
      </c>
      <c r="D391" s="244" t="s">
        <v>312</v>
      </c>
      <c r="E391" s="153">
        <v>4990</v>
      </c>
      <c r="F391" s="153">
        <v>4900</v>
      </c>
      <c r="G391" s="153">
        <v>5892</v>
      </c>
      <c r="H391" s="257">
        <f t="shared" si="235"/>
        <v>1.2024489795918367</v>
      </c>
      <c r="I391" s="257">
        <f t="shared" si="236"/>
        <v>1.1807615230460922</v>
      </c>
      <c r="J391" s="131" t="s">
        <v>1034</v>
      </c>
      <c r="K391" s="131" t="s">
        <v>41</v>
      </c>
      <c r="L391" s="39" t="s">
        <v>909</v>
      </c>
      <c r="M391" s="40">
        <v>1</v>
      </c>
      <c r="N391" s="41">
        <f t="shared" si="234"/>
        <v>1</v>
      </c>
      <c r="O391" s="41" t="s">
        <v>41</v>
      </c>
      <c r="AC391" s="64">
        <f t="shared" si="199"/>
        <v>1.2024489795918367</v>
      </c>
      <c r="AD391" s="64" t="s">
        <v>41</v>
      </c>
    </row>
    <row r="392" spans="1:37" ht="65.25" customHeight="1" outlineLevel="2" x14ac:dyDescent="0.25">
      <c r="A392" s="236" t="s">
        <v>545</v>
      </c>
      <c r="B392" s="42" t="s">
        <v>1228</v>
      </c>
      <c r="C392" s="277" t="s">
        <v>353</v>
      </c>
      <c r="D392" s="244" t="s">
        <v>312</v>
      </c>
      <c r="E392" s="153">
        <v>15</v>
      </c>
      <c r="F392" s="153">
        <v>15</v>
      </c>
      <c r="G392" s="153">
        <v>15</v>
      </c>
      <c r="H392" s="257">
        <f t="shared" si="235"/>
        <v>1</v>
      </c>
      <c r="I392" s="257">
        <f t="shared" si="236"/>
        <v>1</v>
      </c>
      <c r="J392" s="131" t="s">
        <v>41</v>
      </c>
      <c r="K392" s="131" t="s">
        <v>41</v>
      </c>
      <c r="L392" s="39" t="s">
        <v>909</v>
      </c>
      <c r="M392" s="40">
        <v>1</v>
      </c>
      <c r="N392" s="41">
        <f t="shared" si="234"/>
        <v>1</v>
      </c>
      <c r="O392" s="41" t="s">
        <v>41</v>
      </c>
      <c r="AC392" s="64">
        <f t="shared" si="199"/>
        <v>1</v>
      </c>
      <c r="AD392" s="64" t="s">
        <v>41</v>
      </c>
    </row>
    <row r="393" spans="1:37" ht="85.5" customHeight="1" outlineLevel="2" x14ac:dyDescent="0.25">
      <c r="A393" s="236" t="s">
        <v>546</v>
      </c>
      <c r="B393" s="42" t="s">
        <v>1229</v>
      </c>
      <c r="C393" s="153" t="s">
        <v>432</v>
      </c>
      <c r="D393" s="244" t="s">
        <v>312</v>
      </c>
      <c r="E393" s="153">
        <v>33</v>
      </c>
      <c r="F393" s="153">
        <v>23</v>
      </c>
      <c r="G393" s="153">
        <v>39</v>
      </c>
      <c r="H393" s="313">
        <f t="shared" si="235"/>
        <v>1.6956521739130435</v>
      </c>
      <c r="I393" s="257">
        <f t="shared" si="236"/>
        <v>1.1818181818181819</v>
      </c>
      <c r="J393" s="131" t="s">
        <v>1564</v>
      </c>
      <c r="K393" s="131" t="s">
        <v>41</v>
      </c>
      <c r="L393" s="39" t="s">
        <v>909</v>
      </c>
      <c r="M393" s="40">
        <v>1</v>
      </c>
      <c r="N393" s="41">
        <f t="shared" si="234"/>
        <v>1</v>
      </c>
      <c r="O393" s="41" t="s">
        <v>41</v>
      </c>
      <c r="AC393" s="64">
        <f t="shared" si="199"/>
        <v>1.6956521739130435</v>
      </c>
      <c r="AD393" s="64" t="s">
        <v>41</v>
      </c>
    </row>
    <row r="394" spans="1:37" ht="58.5" customHeight="1" outlineLevel="2" x14ac:dyDescent="0.25">
      <c r="A394" s="236" t="s">
        <v>548</v>
      </c>
      <c r="B394" s="42" t="s">
        <v>1035</v>
      </c>
      <c r="C394" s="153" t="s">
        <v>736</v>
      </c>
      <c r="D394" s="244" t="s">
        <v>312</v>
      </c>
      <c r="E394" s="153">
        <v>256.47000000000003</v>
      </c>
      <c r="F394" s="153">
        <v>260</v>
      </c>
      <c r="G394" s="153">
        <v>265.20999999999998</v>
      </c>
      <c r="H394" s="313">
        <f t="shared" si="235"/>
        <v>1.0200384615384614</v>
      </c>
      <c r="I394" s="313">
        <f t="shared" si="236"/>
        <v>1.0340780598120636</v>
      </c>
      <c r="J394" s="131" t="s">
        <v>41</v>
      </c>
      <c r="K394" s="131" t="s">
        <v>41</v>
      </c>
      <c r="L394" s="39" t="s">
        <v>909</v>
      </c>
      <c r="M394" s="40">
        <v>1</v>
      </c>
      <c r="N394" s="41">
        <f t="shared" si="234"/>
        <v>1</v>
      </c>
      <c r="O394" s="41" t="s">
        <v>41</v>
      </c>
      <c r="AC394" s="64">
        <f t="shared" ref="AC394:AD460" si="237">H394</f>
        <v>1.0200384615384614</v>
      </c>
      <c r="AD394" s="64" t="s">
        <v>41</v>
      </c>
    </row>
    <row r="395" spans="1:37" ht="67.5" customHeight="1" outlineLevel="2" x14ac:dyDescent="0.25">
      <c r="A395" s="236" t="s">
        <v>549</v>
      </c>
      <c r="B395" s="42" t="s">
        <v>1230</v>
      </c>
      <c r="C395" s="277" t="s">
        <v>916</v>
      </c>
      <c r="D395" s="251" t="s">
        <v>298</v>
      </c>
      <c r="E395" s="153">
        <v>20</v>
      </c>
      <c r="F395" s="153">
        <v>28</v>
      </c>
      <c r="G395" s="153">
        <v>28</v>
      </c>
      <c r="H395" s="313">
        <f>F395/G395</f>
        <v>1</v>
      </c>
      <c r="I395" s="313">
        <f>E395/G395</f>
        <v>0.7142857142857143</v>
      </c>
      <c r="J395" s="131" t="s">
        <v>1565</v>
      </c>
      <c r="K395" s="131" t="s">
        <v>41</v>
      </c>
      <c r="L395" s="39" t="s">
        <v>909</v>
      </c>
      <c r="M395" s="40">
        <v>-1</v>
      </c>
      <c r="N395" s="41" t="s">
        <v>41</v>
      </c>
      <c r="O395" s="41" t="s">
        <v>41</v>
      </c>
      <c r="AC395" s="64" t="s">
        <v>41</v>
      </c>
      <c r="AD395" s="64" t="s">
        <v>41</v>
      </c>
    </row>
    <row r="396" spans="1:37" ht="57.75" customHeight="1" outlineLevel="2" x14ac:dyDescent="0.25">
      <c r="A396" s="236" t="s">
        <v>1566</v>
      </c>
      <c r="B396" s="42" t="s">
        <v>1568</v>
      </c>
      <c r="C396" s="277" t="s">
        <v>353</v>
      </c>
      <c r="D396" s="425" t="s">
        <v>331</v>
      </c>
      <c r="E396" s="153" t="s">
        <v>41</v>
      </c>
      <c r="F396" s="153">
        <v>4</v>
      </c>
      <c r="G396" s="153">
        <v>4</v>
      </c>
      <c r="H396" s="313">
        <f>G396/F396</f>
        <v>1</v>
      </c>
      <c r="I396" s="426" t="s">
        <v>41</v>
      </c>
      <c r="J396" s="131" t="s">
        <v>41</v>
      </c>
      <c r="K396" s="131" t="s">
        <v>41</v>
      </c>
      <c r="L396" s="39" t="s">
        <v>909</v>
      </c>
      <c r="M396" s="40">
        <v>1</v>
      </c>
      <c r="N396" s="41">
        <f t="shared" ref="N396:N397" si="238">IF(H396&gt;1,1,H396)</f>
        <v>1</v>
      </c>
      <c r="O396" s="41" t="s">
        <v>41</v>
      </c>
      <c r="AC396" s="64">
        <f t="shared" si="237"/>
        <v>1</v>
      </c>
      <c r="AD396" s="64" t="s">
        <v>41</v>
      </c>
    </row>
    <row r="397" spans="1:37" ht="78.75" customHeight="1" outlineLevel="2" x14ac:dyDescent="0.25">
      <c r="A397" s="236" t="s">
        <v>1567</v>
      </c>
      <c r="B397" s="42" t="s">
        <v>1569</v>
      </c>
      <c r="C397" s="153" t="s">
        <v>432</v>
      </c>
      <c r="D397" s="425" t="s">
        <v>331</v>
      </c>
      <c r="E397" s="153" t="s">
        <v>41</v>
      </c>
      <c r="F397" s="153">
        <v>204</v>
      </c>
      <c r="G397" s="153">
        <v>285</v>
      </c>
      <c r="H397" s="313">
        <f>G397/F397</f>
        <v>1.3970588235294117</v>
      </c>
      <c r="I397" s="426" t="s">
        <v>41</v>
      </c>
      <c r="J397" s="131" t="s">
        <v>1570</v>
      </c>
      <c r="K397" s="131" t="s">
        <v>41</v>
      </c>
      <c r="L397" s="39" t="s">
        <v>909</v>
      </c>
      <c r="M397" s="40">
        <v>1</v>
      </c>
      <c r="N397" s="41">
        <f t="shared" si="238"/>
        <v>1</v>
      </c>
      <c r="O397" s="41" t="s">
        <v>41</v>
      </c>
      <c r="AC397" s="64">
        <f t="shared" si="237"/>
        <v>1.3970588235294117</v>
      </c>
      <c r="AD397" s="64" t="s">
        <v>41</v>
      </c>
    </row>
    <row r="398" spans="1:37" s="45" customFormat="1" ht="13.5" customHeight="1" outlineLevel="1" x14ac:dyDescent="0.25">
      <c r="A398" s="78" t="s">
        <v>162</v>
      </c>
      <c r="B398" s="619" t="s">
        <v>578</v>
      </c>
      <c r="C398" s="619"/>
      <c r="D398" s="619"/>
      <c r="E398" s="619"/>
      <c r="F398" s="619"/>
      <c r="G398" s="619"/>
      <c r="H398" s="66">
        <f>AVERAGE(N399:N402)</f>
        <v>1</v>
      </c>
      <c r="I398" s="66">
        <v>1</v>
      </c>
      <c r="J398" s="67"/>
      <c r="K398" s="67"/>
      <c r="L398" s="68"/>
      <c r="M398" s="61"/>
      <c r="N398" s="188"/>
      <c r="O398" s="41">
        <f t="shared" si="228"/>
        <v>1</v>
      </c>
      <c r="P398" s="47"/>
      <c r="Q398" s="47"/>
      <c r="R398" s="98">
        <f>COUNTA(C399:C402)</f>
        <v>4</v>
      </c>
      <c r="S398" s="97">
        <v>3</v>
      </c>
      <c r="T398" s="98">
        <f>COUNTIFS(AC399:AC402,"&gt;1,50")</f>
        <v>1</v>
      </c>
      <c r="U398" s="98">
        <f>COUNTIFS(AC399:AC402,"&gt;=0,995",AC399:AC402,"&lt;=1,5")</f>
        <v>0</v>
      </c>
      <c r="V398" s="98">
        <f>COUNTIFS(AC399:AC402,"&gt;=0,85",AC399:AC402,"&lt;0,995")</f>
        <v>0</v>
      </c>
      <c r="W398" s="98">
        <f>COUNTIFS(AC399:AC402,"&lt;0,85")</f>
        <v>0</v>
      </c>
      <c r="X398" s="50">
        <v>3</v>
      </c>
      <c r="Z398" s="90">
        <f>COUNTIFS(AD399:AD402,"&gt;=1,01")</f>
        <v>0</v>
      </c>
      <c r="AA398" s="90">
        <f>COUNTIFS(AD399:AD402,"&gt;=0,99",AD399:AD402,"&lt;1,01")</f>
        <v>0</v>
      </c>
      <c r="AB398" s="91">
        <f>COUNTIFS(AD399:AD402,"&lt;0,99")</f>
        <v>0</v>
      </c>
      <c r="AC398" s="64"/>
      <c r="AD398" s="64"/>
      <c r="AK398" s="45">
        <f>SUM(T398:X398)-R398</f>
        <v>0</v>
      </c>
    </row>
    <row r="399" spans="1:37" ht="33.75" outlineLevel="2" x14ac:dyDescent="0.25">
      <c r="A399" s="236" t="s">
        <v>551</v>
      </c>
      <c r="B399" s="42" t="s">
        <v>1036</v>
      </c>
      <c r="C399" s="153" t="s">
        <v>314</v>
      </c>
      <c r="D399" s="244" t="s">
        <v>312</v>
      </c>
      <c r="E399" s="153">
        <v>17.3</v>
      </c>
      <c r="F399" s="153">
        <v>9.5</v>
      </c>
      <c r="G399" s="153">
        <v>9.5</v>
      </c>
      <c r="H399" s="313">
        <f>G399/F399</f>
        <v>1</v>
      </c>
      <c r="I399" s="313">
        <f>G399/E399</f>
        <v>0.54913294797687862</v>
      </c>
      <c r="J399" s="131" t="s">
        <v>1571</v>
      </c>
      <c r="K399" s="131" t="s">
        <v>41</v>
      </c>
      <c r="L399" s="39" t="s">
        <v>909</v>
      </c>
      <c r="M399" s="40">
        <v>1</v>
      </c>
      <c r="N399" s="41" t="s">
        <v>41</v>
      </c>
      <c r="O399" s="41" t="s">
        <v>41</v>
      </c>
      <c r="AC399" s="64" t="s">
        <v>41</v>
      </c>
      <c r="AD399" s="64" t="s">
        <v>41</v>
      </c>
    </row>
    <row r="400" spans="1:37" ht="56.25" outlineLevel="2" x14ac:dyDescent="0.25">
      <c r="A400" s="236" t="s">
        <v>553</v>
      </c>
      <c r="B400" s="42" t="s">
        <v>1037</v>
      </c>
      <c r="C400" s="277" t="s">
        <v>314</v>
      </c>
      <c r="D400" s="244" t="s">
        <v>312</v>
      </c>
      <c r="E400" s="153">
        <v>104.8</v>
      </c>
      <c r="F400" s="153">
        <v>110.8</v>
      </c>
      <c r="G400" s="153">
        <v>110.8</v>
      </c>
      <c r="H400" s="313">
        <f>G400/F400</f>
        <v>1</v>
      </c>
      <c r="I400" s="313">
        <f>G400/E400</f>
        <v>1.0572519083969465</v>
      </c>
      <c r="J400" s="131" t="s">
        <v>1572</v>
      </c>
      <c r="K400" s="131" t="s">
        <v>41</v>
      </c>
      <c r="L400" s="39" t="s">
        <v>909</v>
      </c>
      <c r="M400" s="40">
        <v>1</v>
      </c>
      <c r="N400" s="41" t="s">
        <v>41</v>
      </c>
      <c r="O400" s="41" t="s">
        <v>41</v>
      </c>
      <c r="AC400" s="64" t="s">
        <v>41</v>
      </c>
      <c r="AD400" s="64" t="s">
        <v>41</v>
      </c>
    </row>
    <row r="401" spans="1:37" ht="56.25" outlineLevel="2" x14ac:dyDescent="0.25">
      <c r="A401" s="236" t="s">
        <v>1290</v>
      </c>
      <c r="B401" s="42" t="s">
        <v>581</v>
      </c>
      <c r="C401" s="277" t="s">
        <v>353</v>
      </c>
      <c r="D401" s="244" t="s">
        <v>312</v>
      </c>
      <c r="E401" s="153">
        <v>39.480432516341111</v>
      </c>
      <c r="F401" s="153">
        <v>33.6</v>
      </c>
      <c r="G401" s="153">
        <v>40.25</v>
      </c>
      <c r="H401" s="313">
        <f t="shared" ref="H401" si="239">G401/F401</f>
        <v>1.1979166666666665</v>
      </c>
      <c r="I401" s="313">
        <f t="shared" ref="I401" si="240">G401/E401</f>
        <v>1.01949237722612</v>
      </c>
      <c r="J401" s="131" t="s">
        <v>1573</v>
      </c>
      <c r="K401" s="131" t="s">
        <v>41</v>
      </c>
      <c r="L401" s="39" t="s">
        <v>909</v>
      </c>
      <c r="M401" s="40">
        <v>1</v>
      </c>
      <c r="N401" s="41" t="s">
        <v>41</v>
      </c>
      <c r="O401" s="41" t="s">
        <v>41</v>
      </c>
      <c r="AC401" s="64" t="s">
        <v>41</v>
      </c>
      <c r="AD401" s="64" t="s">
        <v>41</v>
      </c>
    </row>
    <row r="402" spans="1:37" ht="56.25" outlineLevel="2" x14ac:dyDescent="0.25">
      <c r="A402" s="236" t="s">
        <v>557</v>
      </c>
      <c r="B402" s="42" t="s">
        <v>918</v>
      </c>
      <c r="C402" s="153" t="s">
        <v>347</v>
      </c>
      <c r="D402" s="314" t="s">
        <v>366</v>
      </c>
      <c r="E402" s="153">
        <v>28.335999999999999</v>
      </c>
      <c r="F402" s="153">
        <v>6.17</v>
      </c>
      <c r="G402" s="153">
        <v>37.85</v>
      </c>
      <c r="H402" s="313">
        <f>G402/F402</f>
        <v>6.1345218800648302</v>
      </c>
      <c r="I402" s="313">
        <f>G402/E402</f>
        <v>1.3357566346696783</v>
      </c>
      <c r="J402" s="131" t="s">
        <v>1574</v>
      </c>
      <c r="K402" s="131" t="s">
        <v>41</v>
      </c>
      <c r="L402" s="39" t="s">
        <v>909</v>
      </c>
      <c r="M402" s="40">
        <v>0</v>
      </c>
      <c r="N402" s="41">
        <f t="shared" ref="N402" si="241">IF(H402&gt;1,1,H402)</f>
        <v>1</v>
      </c>
      <c r="O402" s="41" t="s">
        <v>41</v>
      </c>
      <c r="AC402" s="64">
        <f>H402</f>
        <v>6.1345218800648302</v>
      </c>
      <c r="AD402" s="64" t="s">
        <v>41</v>
      </c>
    </row>
    <row r="403" spans="1:37" s="45" customFormat="1" ht="23.25" customHeight="1" outlineLevel="1" x14ac:dyDescent="0.25">
      <c r="A403" s="65" t="s">
        <v>163</v>
      </c>
      <c r="B403" s="619" t="s">
        <v>919</v>
      </c>
      <c r="C403" s="619"/>
      <c r="D403" s="619"/>
      <c r="E403" s="619"/>
      <c r="F403" s="619"/>
      <c r="G403" s="619"/>
      <c r="H403" s="66">
        <f>AVERAGE(N404:N406)</f>
        <v>1</v>
      </c>
      <c r="I403" s="66">
        <v>1</v>
      </c>
      <c r="J403" s="67"/>
      <c r="K403" s="67"/>
      <c r="L403" s="68"/>
      <c r="M403" s="61"/>
      <c r="N403" s="188"/>
      <c r="O403" s="41">
        <f t="shared" si="228"/>
        <v>1</v>
      </c>
      <c r="P403" s="47"/>
      <c r="Q403" s="47"/>
      <c r="R403" s="98">
        <f>COUNTA(C404:C406)</f>
        <v>3</v>
      </c>
      <c r="S403" s="97">
        <f>R403-T403-U403-V403-W403</f>
        <v>1</v>
      </c>
      <c r="T403" s="98">
        <f>COUNTIFS(AC404:AC406,"&gt;1,50")</f>
        <v>0</v>
      </c>
      <c r="U403" s="98">
        <f>COUNTIFS(AC404:AC406,"&gt;=0,995",AC404:AC406,"&lt;=1,5")</f>
        <v>2</v>
      </c>
      <c r="V403" s="98">
        <f>COUNTIFS(AC404:AC406,"&gt;=0,85",AC404:AC406,"&lt;0,995")</f>
        <v>0</v>
      </c>
      <c r="W403" s="98">
        <f>COUNTIFS(AC404:AC406,"&lt;0,85")</f>
        <v>0</v>
      </c>
      <c r="X403" s="50">
        <v>1</v>
      </c>
      <c r="Z403" s="90">
        <f>COUNTIFS(AD404:AD406,"&gt;=1,01")</f>
        <v>0</v>
      </c>
      <c r="AA403" s="90">
        <f>COUNTIFS(AD404:AD406,"&gt;=0,99",AD404:AD406,"&lt;1,01")</f>
        <v>0</v>
      </c>
      <c r="AB403" s="91">
        <f>COUNTIFS(AD404:AD406,"&lt;0,99")</f>
        <v>0</v>
      </c>
      <c r="AC403" s="64"/>
      <c r="AD403" s="64"/>
      <c r="AK403" s="45">
        <f>SUM(T403:X403)-R403</f>
        <v>0</v>
      </c>
    </row>
    <row r="404" spans="1:37" s="45" customFormat="1" ht="39" customHeight="1" outlineLevel="1" x14ac:dyDescent="0.25">
      <c r="A404" s="236" t="s">
        <v>563</v>
      </c>
      <c r="B404" s="42" t="s">
        <v>920</v>
      </c>
      <c r="C404" s="277" t="s">
        <v>347</v>
      </c>
      <c r="D404" s="244" t="s">
        <v>312</v>
      </c>
      <c r="E404" s="153">
        <v>669.7</v>
      </c>
      <c r="F404" s="153">
        <v>647.1</v>
      </c>
      <c r="G404" s="153">
        <v>647.1</v>
      </c>
      <c r="H404" s="313">
        <f>G404/F404</f>
        <v>1</v>
      </c>
      <c r="I404" s="313">
        <f>G404/E404</f>
        <v>0.96625354636404359</v>
      </c>
      <c r="J404" s="131" t="s">
        <v>1579</v>
      </c>
      <c r="K404" s="131" t="s">
        <v>41</v>
      </c>
      <c r="L404" s="39" t="s">
        <v>654</v>
      </c>
      <c r="M404" s="40">
        <v>1</v>
      </c>
      <c r="N404" s="41" t="s">
        <v>41</v>
      </c>
      <c r="O404" s="41" t="s">
        <v>41</v>
      </c>
      <c r="P404" s="47"/>
      <c r="Q404" s="47"/>
      <c r="R404" s="339"/>
      <c r="S404" s="97"/>
      <c r="T404" s="339"/>
      <c r="U404" s="339"/>
      <c r="V404" s="339"/>
      <c r="W404" s="339"/>
      <c r="X404" s="50"/>
      <c r="Z404" s="340"/>
      <c r="AA404" s="340"/>
      <c r="AB404" s="340"/>
      <c r="AC404" s="64" t="s">
        <v>41</v>
      </c>
      <c r="AD404" s="64" t="s">
        <v>41</v>
      </c>
    </row>
    <row r="405" spans="1:37" s="45" customFormat="1" ht="60" customHeight="1" outlineLevel="1" x14ac:dyDescent="0.25">
      <c r="A405" s="236" t="s">
        <v>567</v>
      </c>
      <c r="B405" s="42" t="s">
        <v>1575</v>
      </c>
      <c r="C405" s="277" t="s">
        <v>353</v>
      </c>
      <c r="D405" s="314" t="s">
        <v>331</v>
      </c>
      <c r="E405" s="153">
        <v>0</v>
      </c>
      <c r="F405" s="153">
        <v>20</v>
      </c>
      <c r="G405" s="153">
        <v>20</v>
      </c>
      <c r="H405" s="313">
        <f>G405/F405</f>
        <v>1</v>
      </c>
      <c r="I405" s="313" t="s">
        <v>41</v>
      </c>
      <c r="J405" s="131" t="s">
        <v>41</v>
      </c>
      <c r="K405" s="131" t="s">
        <v>41</v>
      </c>
      <c r="L405" s="39" t="s">
        <v>654</v>
      </c>
      <c r="M405" s="40">
        <v>0</v>
      </c>
      <c r="N405" s="41">
        <f t="shared" ref="N405:N408" si="242">IF(H405&gt;1,1,H405)</f>
        <v>1</v>
      </c>
      <c r="O405" s="41" t="s">
        <v>41</v>
      </c>
      <c r="P405" s="47"/>
      <c r="Q405" s="47"/>
      <c r="R405" s="339"/>
      <c r="S405" s="97"/>
      <c r="T405" s="339"/>
      <c r="U405" s="339"/>
      <c r="V405" s="339"/>
      <c r="W405" s="339"/>
      <c r="X405" s="50"/>
      <c r="Z405" s="340"/>
      <c r="AA405" s="340"/>
      <c r="AB405" s="340"/>
      <c r="AC405" s="64">
        <f t="shared" si="237"/>
        <v>1</v>
      </c>
      <c r="AD405" s="64" t="s">
        <v>41</v>
      </c>
    </row>
    <row r="406" spans="1:37" ht="41.25" customHeight="1" outlineLevel="2" x14ac:dyDescent="0.25">
      <c r="A406" s="236" t="s">
        <v>1577</v>
      </c>
      <c r="B406" s="42" t="s">
        <v>1576</v>
      </c>
      <c r="C406" s="277" t="s">
        <v>1578</v>
      </c>
      <c r="D406" s="314" t="s">
        <v>331</v>
      </c>
      <c r="E406" s="153" t="s">
        <v>41</v>
      </c>
      <c r="F406" s="153">
        <v>0.43</v>
      </c>
      <c r="G406" s="153">
        <v>0.45</v>
      </c>
      <c r="H406" s="313">
        <f>G406/F406</f>
        <v>1.0465116279069768</v>
      </c>
      <c r="I406" s="313" t="s">
        <v>41</v>
      </c>
      <c r="J406" s="131" t="s">
        <v>41</v>
      </c>
      <c r="K406" s="131" t="s">
        <v>41</v>
      </c>
      <c r="L406" s="39" t="s">
        <v>654</v>
      </c>
      <c r="M406" s="40">
        <v>0</v>
      </c>
      <c r="N406" s="41">
        <f t="shared" si="242"/>
        <v>1</v>
      </c>
      <c r="O406" s="41" t="s">
        <v>41</v>
      </c>
      <c r="AC406" s="64">
        <f t="shared" si="237"/>
        <v>1.0465116279069768</v>
      </c>
      <c r="AD406" s="64" t="str">
        <f t="shared" si="237"/>
        <v>-</v>
      </c>
    </row>
    <row r="407" spans="1:37" s="45" customFormat="1" ht="24" customHeight="1" outlineLevel="1" x14ac:dyDescent="0.25">
      <c r="A407" s="65" t="s">
        <v>270</v>
      </c>
      <c r="B407" s="619" t="s">
        <v>921</v>
      </c>
      <c r="C407" s="619"/>
      <c r="D407" s="619"/>
      <c r="E407" s="619"/>
      <c r="F407" s="619"/>
      <c r="G407" s="619"/>
      <c r="H407" s="66">
        <f>AVERAGE(N408:N410)</f>
        <v>1</v>
      </c>
      <c r="I407" s="66">
        <v>1</v>
      </c>
      <c r="J407" s="67"/>
      <c r="K407" s="67"/>
      <c r="L407" s="68"/>
      <c r="M407" s="61"/>
      <c r="N407" s="41"/>
      <c r="O407" s="41">
        <f t="shared" si="228"/>
        <v>1</v>
      </c>
      <c r="P407" s="47"/>
      <c r="Q407" s="47"/>
      <c r="R407" s="98">
        <f>COUNTA(C408:C410)</f>
        <v>3</v>
      </c>
      <c r="S407" s="97">
        <v>0</v>
      </c>
      <c r="T407" s="98">
        <f>COUNTIFS(AC408:AC410,"&gt;1,50")</f>
        <v>0</v>
      </c>
      <c r="U407" s="98">
        <f>COUNTIFS(AC408:AC410,"&gt;=0,995",AC408:AC410,"&lt;=1,5")</f>
        <v>3</v>
      </c>
      <c r="V407" s="98">
        <f>COUNTIFS(AC408:AC410,"&gt;=0,85",AC408:AC410,"&lt;0,995")</f>
        <v>0</v>
      </c>
      <c r="W407" s="98">
        <f>COUNTIFS(AC408:AC410,"&lt;0,85")</f>
        <v>0</v>
      </c>
      <c r="X407" s="50">
        <v>0</v>
      </c>
      <c r="Z407" s="90">
        <f>COUNTIFS(AD408:AD410,"&gt;=1,01")</f>
        <v>0</v>
      </c>
      <c r="AA407" s="90">
        <f>COUNTIFS(AD408:AD410,"&gt;=0,99",AD408:AD410,"&lt;1,01")</f>
        <v>0</v>
      </c>
      <c r="AB407" s="91">
        <f>COUNTIFS(AD408:AD410,"&lt;0,99")</f>
        <v>0</v>
      </c>
      <c r="AC407" s="64"/>
      <c r="AD407" s="64"/>
      <c r="AK407" s="45">
        <f>SUM(T407:X407)-R407</f>
        <v>0</v>
      </c>
    </row>
    <row r="408" spans="1:37" ht="41.25" customHeight="1" outlineLevel="2" x14ac:dyDescent="0.25">
      <c r="A408" s="236" t="s">
        <v>1450</v>
      </c>
      <c r="B408" s="312" t="s">
        <v>922</v>
      </c>
      <c r="C408" s="277" t="s">
        <v>925</v>
      </c>
      <c r="D408" s="148" t="s">
        <v>331</v>
      </c>
      <c r="E408" s="153">
        <v>1</v>
      </c>
      <c r="F408" s="153">
        <v>1</v>
      </c>
      <c r="G408" s="153">
        <v>1</v>
      </c>
      <c r="H408" s="313">
        <f t="shared" ref="H408:H410" si="243">G408/F408</f>
        <v>1</v>
      </c>
      <c r="I408" s="313" t="s">
        <v>41</v>
      </c>
      <c r="J408" s="131" t="s">
        <v>41</v>
      </c>
      <c r="K408" s="131" t="s">
        <v>41</v>
      </c>
      <c r="L408" s="39" t="s">
        <v>909</v>
      </c>
      <c r="M408" s="40">
        <v>0</v>
      </c>
      <c r="N408" s="41">
        <f t="shared" si="242"/>
        <v>1</v>
      </c>
      <c r="O408" s="41" t="s">
        <v>41</v>
      </c>
      <c r="AC408" s="64">
        <f t="shared" si="237"/>
        <v>1</v>
      </c>
      <c r="AD408" s="64" t="str">
        <f t="shared" si="237"/>
        <v>-</v>
      </c>
    </row>
    <row r="409" spans="1:37" ht="69" customHeight="1" outlineLevel="2" x14ac:dyDescent="0.25">
      <c r="A409" s="236" t="s">
        <v>1451</v>
      </c>
      <c r="B409" s="312" t="s">
        <v>923</v>
      </c>
      <c r="C409" s="277" t="s">
        <v>353</v>
      </c>
      <c r="D409" s="148" t="s">
        <v>331</v>
      </c>
      <c r="E409" s="153">
        <v>5</v>
      </c>
      <c r="F409" s="153">
        <v>6</v>
      </c>
      <c r="G409" s="153">
        <v>6</v>
      </c>
      <c r="H409" s="313">
        <f t="shared" si="243"/>
        <v>1</v>
      </c>
      <c r="I409" s="313" t="s">
        <v>41</v>
      </c>
      <c r="J409" s="131" t="s">
        <v>41</v>
      </c>
      <c r="K409" s="131" t="s">
        <v>41</v>
      </c>
      <c r="L409" s="39" t="s">
        <v>909</v>
      </c>
      <c r="M409" s="40">
        <v>0</v>
      </c>
      <c r="N409" s="41">
        <f t="shared" ref="N409:N410" si="244">IF(H409&gt;1,1,H409)</f>
        <v>1</v>
      </c>
      <c r="O409" s="41" t="s">
        <v>41</v>
      </c>
      <c r="AC409" s="64">
        <f t="shared" si="237"/>
        <v>1</v>
      </c>
      <c r="AD409" s="64" t="s">
        <v>41</v>
      </c>
    </row>
    <row r="410" spans="1:37" ht="74.25" customHeight="1" outlineLevel="2" x14ac:dyDescent="0.25">
      <c r="A410" s="236" t="s">
        <v>1452</v>
      </c>
      <c r="B410" s="312" t="s">
        <v>924</v>
      </c>
      <c r="C410" s="277" t="s">
        <v>925</v>
      </c>
      <c r="D410" s="148" t="s">
        <v>331</v>
      </c>
      <c r="E410" s="153">
        <v>0</v>
      </c>
      <c r="F410" s="153">
        <v>1</v>
      </c>
      <c r="G410" s="153">
        <v>1</v>
      </c>
      <c r="H410" s="313">
        <f t="shared" si="243"/>
        <v>1</v>
      </c>
      <c r="I410" s="313" t="s">
        <v>41</v>
      </c>
      <c r="J410" s="131" t="s">
        <v>41</v>
      </c>
      <c r="K410" s="131" t="s">
        <v>41</v>
      </c>
      <c r="L410" s="39" t="s">
        <v>909</v>
      </c>
      <c r="M410" s="40">
        <v>0</v>
      </c>
      <c r="N410" s="41">
        <f t="shared" si="244"/>
        <v>1</v>
      </c>
      <c r="O410" s="41" t="s">
        <v>41</v>
      </c>
      <c r="AC410" s="64">
        <f t="shared" si="237"/>
        <v>1</v>
      </c>
      <c r="AD410" s="64" t="s">
        <v>41</v>
      </c>
    </row>
    <row r="411" spans="1:37" s="45" customFormat="1" ht="19.5" customHeight="1" x14ac:dyDescent="0.25">
      <c r="A411" s="401" t="s">
        <v>164</v>
      </c>
      <c r="B411" s="624" t="s">
        <v>635</v>
      </c>
      <c r="C411" s="624"/>
      <c r="D411" s="624"/>
      <c r="E411" s="624"/>
      <c r="F411" s="624"/>
      <c r="G411" s="624"/>
      <c r="H411" s="402">
        <f>AVERAGE(N412:N414,N416:N420,N422:N424)</f>
        <v>0.99778345250255362</v>
      </c>
      <c r="I411" s="402">
        <f>AVERAGE(O412:O414,O416:O420,O422:O424)</f>
        <v>1.053440038687194</v>
      </c>
      <c r="J411" s="403"/>
      <c r="K411" s="403"/>
      <c r="L411" s="404"/>
      <c r="M411" s="61"/>
      <c r="N411" s="188"/>
      <c r="O411" s="41"/>
      <c r="P411" s="47"/>
      <c r="Q411" s="47"/>
      <c r="R411" s="104">
        <f>COUNTA(C412:C424)</f>
        <v>11</v>
      </c>
      <c r="S411" s="96">
        <f>R411-T411-U411-V411-W411</f>
        <v>0</v>
      </c>
      <c r="T411" s="104">
        <f>COUNTIFS(AC412:AC424,"&gt;1,50")</f>
        <v>1</v>
      </c>
      <c r="U411" s="104">
        <f>COUNTIFS(AC412:AC424,"&gt;=0,995",AC412:AC424,"&lt;=1,5")</f>
        <v>9</v>
      </c>
      <c r="V411" s="104">
        <f>COUNTIFS(AC412:AC424,"&gt;=0,85",AC412:AC424,"&lt;0,995")</f>
        <v>1</v>
      </c>
      <c r="W411" s="104">
        <f>COUNTIFS(AC412:AC424,"&lt;0,85")</f>
        <v>0</v>
      </c>
      <c r="X411" s="47"/>
      <c r="Z411" s="94">
        <f>COUNTIFS(AD412:AD424,"&gt;=1,01")</f>
        <v>3</v>
      </c>
      <c r="AA411" s="94">
        <f>COUNTIFS(AD412:AD424,"&gt;=0,99",AD412:AD424,"&lt;1,01")</f>
        <v>5</v>
      </c>
      <c r="AB411" s="95">
        <f>COUNTIFS(AD412:AD424,"&lt;0,99")</f>
        <v>2</v>
      </c>
      <c r="AC411" s="64"/>
      <c r="AD411" s="64"/>
      <c r="AK411" s="45">
        <f>SUM(T411:X411)-R411</f>
        <v>0</v>
      </c>
    </row>
    <row r="412" spans="1:37" ht="56.25" outlineLevel="2" x14ac:dyDescent="0.25">
      <c r="A412" s="236" t="s">
        <v>570</v>
      </c>
      <c r="B412" s="223" t="s">
        <v>778</v>
      </c>
      <c r="C412" s="221" t="s">
        <v>314</v>
      </c>
      <c r="D412" s="244" t="s">
        <v>312</v>
      </c>
      <c r="E412" s="153">
        <v>100</v>
      </c>
      <c r="F412" s="153">
        <v>100</v>
      </c>
      <c r="G412" s="153">
        <v>100</v>
      </c>
      <c r="H412" s="257">
        <f>G412/F412</f>
        <v>1</v>
      </c>
      <c r="I412" s="257">
        <f>G412/E412</f>
        <v>1</v>
      </c>
      <c r="J412" s="153" t="s">
        <v>41</v>
      </c>
      <c r="K412" s="153" t="s">
        <v>41</v>
      </c>
      <c r="L412" s="39" t="s">
        <v>238</v>
      </c>
      <c r="M412" s="40">
        <v>1</v>
      </c>
      <c r="N412" s="41">
        <f>IF(H412&gt;1,1,H412)</f>
        <v>1</v>
      </c>
      <c r="O412" s="41">
        <f t="shared" si="228"/>
        <v>1</v>
      </c>
      <c r="AC412" s="64">
        <f t="shared" si="237"/>
        <v>1</v>
      </c>
      <c r="AD412" s="64">
        <f t="shared" si="237"/>
        <v>1</v>
      </c>
    </row>
    <row r="413" spans="1:37" ht="33.75" outlineLevel="2" x14ac:dyDescent="0.25">
      <c r="A413" s="236" t="s">
        <v>572</v>
      </c>
      <c r="B413" s="218" t="s">
        <v>779</v>
      </c>
      <c r="C413" s="221" t="s">
        <v>314</v>
      </c>
      <c r="D413" s="244" t="s">
        <v>312</v>
      </c>
      <c r="E413" s="153">
        <v>88.9</v>
      </c>
      <c r="F413" s="153">
        <v>89</v>
      </c>
      <c r="G413" s="153">
        <v>88.9</v>
      </c>
      <c r="H413" s="257">
        <f>G413/F413</f>
        <v>0.99887640449438209</v>
      </c>
      <c r="I413" s="257">
        <f>G413/E413</f>
        <v>1</v>
      </c>
      <c r="J413" s="153" t="s">
        <v>41</v>
      </c>
      <c r="K413" s="153" t="s">
        <v>41</v>
      </c>
      <c r="L413" s="62" t="s">
        <v>238</v>
      </c>
      <c r="M413" s="40">
        <v>1</v>
      </c>
      <c r="N413" s="41">
        <v>1</v>
      </c>
      <c r="O413" s="41">
        <f t="shared" si="228"/>
        <v>1</v>
      </c>
      <c r="AC413" s="64">
        <f t="shared" si="237"/>
        <v>0.99887640449438209</v>
      </c>
      <c r="AD413" s="64">
        <f t="shared" si="237"/>
        <v>1</v>
      </c>
    </row>
    <row r="414" spans="1:37" ht="67.5" outlineLevel="2" x14ac:dyDescent="0.25">
      <c r="A414" s="236" t="s">
        <v>573</v>
      </c>
      <c r="B414" s="222" t="s">
        <v>780</v>
      </c>
      <c r="C414" s="220" t="s">
        <v>334</v>
      </c>
      <c r="D414" s="244" t="s">
        <v>312</v>
      </c>
      <c r="E414" s="153">
        <v>10</v>
      </c>
      <c r="F414" s="153">
        <v>11</v>
      </c>
      <c r="G414" s="153">
        <v>11</v>
      </c>
      <c r="H414" s="257">
        <f>G414/F414</f>
        <v>1</v>
      </c>
      <c r="I414" s="257">
        <f t="shared" ref="I414" si="245">G414/E414</f>
        <v>1.1000000000000001</v>
      </c>
      <c r="J414" s="153" t="s">
        <v>41</v>
      </c>
      <c r="K414" s="127" t="s">
        <v>41</v>
      </c>
      <c r="L414" s="39" t="s">
        <v>238</v>
      </c>
      <c r="M414" s="40">
        <v>1</v>
      </c>
      <c r="N414" s="41">
        <f>IF(H414&gt;1,1,H414)</f>
        <v>1</v>
      </c>
      <c r="O414" s="41">
        <f t="shared" si="228"/>
        <v>1.1000000000000001</v>
      </c>
      <c r="AC414" s="64">
        <f t="shared" si="237"/>
        <v>1</v>
      </c>
      <c r="AD414" s="64">
        <f t="shared" si="237"/>
        <v>1.1000000000000001</v>
      </c>
    </row>
    <row r="415" spans="1:37" s="45" customFormat="1" ht="24" customHeight="1" outlineLevel="1" x14ac:dyDescent="0.25">
      <c r="A415" s="65" t="s">
        <v>165</v>
      </c>
      <c r="B415" s="619" t="s">
        <v>781</v>
      </c>
      <c r="C415" s="619"/>
      <c r="D415" s="619"/>
      <c r="E415" s="619"/>
      <c r="F415" s="619"/>
      <c r="G415" s="619"/>
      <c r="H415" s="66">
        <f>AVERAGE(N416:N420)</f>
        <v>0.99512359550561802</v>
      </c>
      <c r="I415" s="66">
        <f>AVERAGE(O416:O420)</f>
        <v>0.98360009671798521</v>
      </c>
      <c r="J415" s="67"/>
      <c r="K415" s="67"/>
      <c r="L415" s="68"/>
      <c r="M415" s="61"/>
      <c r="N415" s="188"/>
      <c r="O415" s="41"/>
      <c r="P415" s="47"/>
      <c r="Q415" s="47"/>
      <c r="R415" s="98">
        <f>COUNTA(C416:C420)</f>
        <v>5</v>
      </c>
      <c r="S415" s="97">
        <v>0</v>
      </c>
      <c r="T415" s="98">
        <f>COUNTIFS(AC416:AC420,"&gt;1,50")</f>
        <v>0</v>
      </c>
      <c r="U415" s="98">
        <f>COUNTIFS(AC416:AC420,"&gt;=0,995",AC416:AC420,"&lt;=1,5")</f>
        <v>4</v>
      </c>
      <c r="V415" s="98">
        <f>COUNTIFS(AC416:AC420,"&gt;=0,85",AC416:AC420,"&lt;0,995")</f>
        <v>1</v>
      </c>
      <c r="W415" s="98">
        <f>COUNTIFS(AC416:AC420,"&lt;0,85")</f>
        <v>0</v>
      </c>
      <c r="X415" s="50"/>
      <c r="Z415" s="90">
        <f>COUNTIFS(AD416:AD420,"&gt;=1,01")</f>
        <v>0</v>
      </c>
      <c r="AA415" s="90">
        <f>COUNTIFS(AD416:AD420,"&gt;=0,99",AD416:AD420,"&lt;1,01")</f>
        <v>2</v>
      </c>
      <c r="AB415" s="91">
        <f>COUNTIFS(AD416:AD420,"&lt;0,99")</f>
        <v>2</v>
      </c>
      <c r="AC415" s="64"/>
      <c r="AD415" s="64"/>
      <c r="AK415" s="45">
        <f>SUM(T415:X415)-R415</f>
        <v>0</v>
      </c>
    </row>
    <row r="416" spans="1:37" ht="210" customHeight="1" outlineLevel="2" x14ac:dyDescent="0.25">
      <c r="A416" s="236" t="s">
        <v>574</v>
      </c>
      <c r="B416" s="224" t="s">
        <v>782</v>
      </c>
      <c r="C416" s="221" t="s">
        <v>314</v>
      </c>
      <c r="D416" s="244" t="s">
        <v>312</v>
      </c>
      <c r="E416" s="366">
        <v>99</v>
      </c>
      <c r="F416" s="366">
        <v>90</v>
      </c>
      <c r="G416" s="366">
        <v>99</v>
      </c>
      <c r="H416" s="257">
        <f t="shared" ref="H416:H420" si="246">G416/F416</f>
        <v>1.1000000000000001</v>
      </c>
      <c r="I416" s="257">
        <f t="shared" ref="I416:I420" si="247">G416/E416</f>
        <v>1</v>
      </c>
      <c r="J416" s="153" t="s">
        <v>1616</v>
      </c>
      <c r="K416" s="153" t="s">
        <v>41</v>
      </c>
      <c r="L416" s="39" t="s">
        <v>238</v>
      </c>
      <c r="M416" s="40">
        <v>1</v>
      </c>
      <c r="N416" s="41">
        <f>IF(H416&gt;1,1,H416)</f>
        <v>1</v>
      </c>
      <c r="O416" s="41">
        <f t="shared" si="228"/>
        <v>1</v>
      </c>
      <c r="AC416" s="64">
        <f t="shared" si="237"/>
        <v>1.1000000000000001</v>
      </c>
      <c r="AD416" s="64">
        <f t="shared" si="237"/>
        <v>1</v>
      </c>
    </row>
    <row r="417" spans="1:37" ht="45" outlineLevel="2" x14ac:dyDescent="0.25">
      <c r="A417" s="236" t="s">
        <v>575</v>
      </c>
      <c r="B417" s="224" t="s">
        <v>783</v>
      </c>
      <c r="C417" s="221" t="s">
        <v>314</v>
      </c>
      <c r="D417" s="244" t="s">
        <v>312</v>
      </c>
      <c r="E417" s="366">
        <v>86</v>
      </c>
      <c r="F417" s="366">
        <v>84</v>
      </c>
      <c r="G417" s="366">
        <v>84.2</v>
      </c>
      <c r="H417" s="257">
        <f t="shared" si="246"/>
        <v>1.0023809523809524</v>
      </c>
      <c r="I417" s="257">
        <f>G417/E417</f>
        <v>0.97906976744186047</v>
      </c>
      <c r="J417" s="153" t="s">
        <v>41</v>
      </c>
      <c r="K417" s="153" t="s">
        <v>41</v>
      </c>
      <c r="L417" s="39" t="s">
        <v>238</v>
      </c>
      <c r="M417" s="40">
        <v>1</v>
      </c>
      <c r="N417" s="41">
        <f>IF(H417&gt;1,1,H417)</f>
        <v>1</v>
      </c>
      <c r="O417" s="41">
        <f t="shared" si="228"/>
        <v>0.97906976744186047</v>
      </c>
      <c r="AC417" s="64">
        <f t="shared" si="237"/>
        <v>1.0023809523809524</v>
      </c>
      <c r="AD417" s="64">
        <f t="shared" si="237"/>
        <v>0.97906976744186047</v>
      </c>
    </row>
    <row r="418" spans="1:37" ht="74.25" customHeight="1" outlineLevel="2" x14ac:dyDescent="0.25">
      <c r="A418" s="236" t="s">
        <v>576</v>
      </c>
      <c r="B418" s="224" t="s">
        <v>784</v>
      </c>
      <c r="C418" s="221" t="s">
        <v>314</v>
      </c>
      <c r="D418" s="244" t="s">
        <v>312</v>
      </c>
      <c r="E418" s="366">
        <v>90.89</v>
      </c>
      <c r="F418" s="366">
        <v>89</v>
      </c>
      <c r="G418" s="366">
        <v>86.83</v>
      </c>
      <c r="H418" s="257">
        <f t="shared" si="246"/>
        <v>0.97561797752808987</v>
      </c>
      <c r="I418" s="257">
        <f t="shared" si="247"/>
        <v>0.95533061943008024</v>
      </c>
      <c r="J418" s="153" t="s">
        <v>1614</v>
      </c>
      <c r="K418" s="153" t="s">
        <v>41</v>
      </c>
      <c r="L418" s="39" t="s">
        <v>238</v>
      </c>
      <c r="M418" s="40">
        <v>1</v>
      </c>
      <c r="N418" s="41">
        <f>IF(H418&gt;1,1,H418)</f>
        <v>0.97561797752808987</v>
      </c>
      <c r="O418" s="41">
        <f t="shared" si="228"/>
        <v>0.95533061943008024</v>
      </c>
      <c r="AC418" s="64">
        <f t="shared" si="237"/>
        <v>0.97561797752808987</v>
      </c>
      <c r="AD418" s="64">
        <f t="shared" si="237"/>
        <v>0.95533061943008024</v>
      </c>
    </row>
    <row r="419" spans="1:37" ht="44.25" customHeight="1" outlineLevel="2" x14ac:dyDescent="0.25">
      <c r="A419" s="236" t="s">
        <v>577</v>
      </c>
      <c r="B419" s="224" t="s">
        <v>785</v>
      </c>
      <c r="C419" s="221" t="s">
        <v>447</v>
      </c>
      <c r="D419" s="251" t="s">
        <v>298</v>
      </c>
      <c r="E419" s="366">
        <v>0</v>
      </c>
      <c r="F419" s="366">
        <v>18</v>
      </c>
      <c r="G419" s="366">
        <v>0</v>
      </c>
      <c r="H419" s="257">
        <v>1</v>
      </c>
      <c r="I419" s="257">
        <v>1</v>
      </c>
      <c r="J419" s="153" t="s">
        <v>41</v>
      </c>
      <c r="K419" s="153" t="s">
        <v>41</v>
      </c>
      <c r="L419" s="71" t="s">
        <v>787</v>
      </c>
      <c r="M419" s="40">
        <v>-1</v>
      </c>
      <c r="N419" s="41">
        <f>IF(H419&gt;1,1,H419)</f>
        <v>1</v>
      </c>
      <c r="O419" s="41">
        <f t="shared" si="228"/>
        <v>1</v>
      </c>
      <c r="AC419" s="64">
        <f t="shared" si="237"/>
        <v>1</v>
      </c>
      <c r="AD419" s="64">
        <f t="shared" si="237"/>
        <v>1</v>
      </c>
    </row>
    <row r="420" spans="1:37" ht="43.5" customHeight="1" outlineLevel="2" x14ac:dyDescent="0.25">
      <c r="A420" s="236" t="s">
        <v>917</v>
      </c>
      <c r="B420" s="224" t="s">
        <v>786</v>
      </c>
      <c r="C420" s="221" t="s">
        <v>314</v>
      </c>
      <c r="D420" s="153" t="s">
        <v>331</v>
      </c>
      <c r="E420" s="366">
        <v>99.45</v>
      </c>
      <c r="F420" s="366">
        <v>99</v>
      </c>
      <c r="G420" s="366">
        <v>99</v>
      </c>
      <c r="H420" s="257">
        <f t="shared" si="246"/>
        <v>1</v>
      </c>
      <c r="I420" s="315">
        <f t="shared" si="247"/>
        <v>0.99547511312217196</v>
      </c>
      <c r="J420" s="153" t="s">
        <v>1615</v>
      </c>
      <c r="K420" s="153" t="s">
        <v>41</v>
      </c>
      <c r="L420" s="71" t="s">
        <v>787</v>
      </c>
      <c r="M420" s="40">
        <v>0</v>
      </c>
      <c r="N420" s="41">
        <f>IF(H420&gt;1,1,H420)</f>
        <v>1</v>
      </c>
      <c r="O420" s="41" t="s">
        <v>41</v>
      </c>
      <c r="AC420" s="64">
        <f t="shared" si="237"/>
        <v>1</v>
      </c>
      <c r="AD420" s="64"/>
    </row>
    <row r="421" spans="1:37" s="45" customFormat="1" ht="37.5" customHeight="1" outlineLevel="1" x14ac:dyDescent="0.25">
      <c r="A421" s="65" t="s">
        <v>166</v>
      </c>
      <c r="B421" s="619" t="s">
        <v>788</v>
      </c>
      <c r="C421" s="619"/>
      <c r="D421" s="619"/>
      <c r="E421" s="619"/>
      <c r="F421" s="619"/>
      <c r="G421" s="619"/>
      <c r="H421" s="66">
        <f>AVERAGE(N422:N424)</f>
        <v>1</v>
      </c>
      <c r="I421" s="66">
        <f>AVERAGE(O422:O424)</f>
        <v>1.1666666666666667</v>
      </c>
      <c r="J421" s="67"/>
      <c r="K421" s="67"/>
      <c r="L421" s="68"/>
      <c r="M421" s="61"/>
      <c r="N421" s="41"/>
      <c r="O421" s="41">
        <f t="shared" si="228"/>
        <v>1.1666666666666667</v>
      </c>
      <c r="P421" s="47"/>
      <c r="Q421" s="47"/>
      <c r="R421" s="98">
        <f>COUNTA(C422:C424)</f>
        <v>3</v>
      </c>
      <c r="S421" s="97">
        <v>0</v>
      </c>
      <c r="T421" s="98">
        <f>COUNTIFS(AC422:AC424,"&gt;1,50")</f>
        <v>1</v>
      </c>
      <c r="U421" s="98">
        <f>COUNTIFS(AC422:AC424,"&gt;=0,995",AC422:AC424,"&lt;=1,5")</f>
        <v>2</v>
      </c>
      <c r="V421" s="98">
        <f>COUNTIFS(AC422:AC424,"&gt;=0,85",AC422:AC424,"&lt;0,995")</f>
        <v>0</v>
      </c>
      <c r="W421" s="98">
        <f>COUNTIFS(AC422:AC424,"&lt;0,85")</f>
        <v>0</v>
      </c>
      <c r="X421" s="50"/>
      <c r="Z421" s="90">
        <f>COUNTIFS(AD422:AD424,"&gt;=1,01")</f>
        <v>2</v>
      </c>
      <c r="AA421" s="90">
        <f>COUNTIFS(AD422:AD424,"&gt;=0,99",AD422:AD424,"&lt;1,01")</f>
        <v>1</v>
      </c>
      <c r="AB421" s="91">
        <f>COUNTIFS(AD422:AD424,"&lt;0,99")</f>
        <v>0</v>
      </c>
      <c r="AC421" s="64"/>
      <c r="AD421" s="64"/>
      <c r="AK421" s="45">
        <f>SUM(T421:X421)-R421</f>
        <v>0</v>
      </c>
    </row>
    <row r="422" spans="1:37" ht="59.25" customHeight="1" outlineLevel="2" x14ac:dyDescent="0.25">
      <c r="A422" s="236" t="s">
        <v>579</v>
      </c>
      <c r="B422" s="187" t="s">
        <v>1618</v>
      </c>
      <c r="C422" s="221" t="s">
        <v>320</v>
      </c>
      <c r="D422" s="244" t="s">
        <v>312</v>
      </c>
      <c r="E422" s="366">
        <v>593</v>
      </c>
      <c r="F422" s="366">
        <v>835.7</v>
      </c>
      <c r="G422" s="366">
        <v>1538.45</v>
      </c>
      <c r="H422" s="257">
        <f t="shared" ref="H422:H424" si="248">G422/F422</f>
        <v>1.8409118104582984</v>
      </c>
      <c r="I422" s="257">
        <f t="shared" ref="I422:I424" si="249">G422/E422</f>
        <v>2.5943507588532886</v>
      </c>
      <c r="J422" s="153" t="s">
        <v>1617</v>
      </c>
      <c r="K422" s="153" t="s">
        <v>41</v>
      </c>
      <c r="L422" s="39" t="s">
        <v>238</v>
      </c>
      <c r="M422" s="40">
        <v>1</v>
      </c>
      <c r="N422" s="41">
        <f t="shared" ref="N422:N424" si="250">IF(H422&gt;1,1,H422)</f>
        <v>1</v>
      </c>
      <c r="O422" s="41">
        <f t="shared" si="228"/>
        <v>1.25</v>
      </c>
      <c r="AC422" s="64">
        <f t="shared" si="237"/>
        <v>1.8409118104582984</v>
      </c>
      <c r="AD422" s="64">
        <f t="shared" si="237"/>
        <v>2.5943507588532886</v>
      </c>
    </row>
    <row r="423" spans="1:37" ht="67.5" outlineLevel="2" x14ac:dyDescent="0.25">
      <c r="A423" s="236" t="s">
        <v>580</v>
      </c>
      <c r="B423" s="316" t="s">
        <v>789</v>
      </c>
      <c r="C423" s="221" t="s">
        <v>314</v>
      </c>
      <c r="D423" s="244" t="s">
        <v>312</v>
      </c>
      <c r="E423" s="366">
        <v>100</v>
      </c>
      <c r="F423" s="366">
        <v>100</v>
      </c>
      <c r="G423" s="366">
        <v>100</v>
      </c>
      <c r="H423" s="257">
        <f t="shared" si="248"/>
        <v>1</v>
      </c>
      <c r="I423" s="257">
        <f t="shared" si="249"/>
        <v>1</v>
      </c>
      <c r="J423" s="153" t="s">
        <v>41</v>
      </c>
      <c r="K423" s="153" t="s">
        <v>41</v>
      </c>
      <c r="L423" s="39" t="s">
        <v>238</v>
      </c>
      <c r="M423" s="40">
        <v>1</v>
      </c>
      <c r="N423" s="41">
        <f t="shared" si="250"/>
        <v>1</v>
      </c>
      <c r="O423" s="41">
        <f t="shared" si="228"/>
        <v>1</v>
      </c>
      <c r="AC423" s="64">
        <f t="shared" si="237"/>
        <v>1</v>
      </c>
      <c r="AD423" s="64">
        <f t="shared" si="237"/>
        <v>1</v>
      </c>
    </row>
    <row r="424" spans="1:37" ht="65.25" customHeight="1" outlineLevel="2" x14ac:dyDescent="0.25">
      <c r="A424" s="236" t="s">
        <v>582</v>
      </c>
      <c r="B424" s="187" t="s">
        <v>790</v>
      </c>
      <c r="C424" s="221" t="s">
        <v>334</v>
      </c>
      <c r="D424" s="244" t="s">
        <v>312</v>
      </c>
      <c r="E424" s="366">
        <v>10000</v>
      </c>
      <c r="F424" s="366">
        <v>20000</v>
      </c>
      <c r="G424" s="366">
        <v>20000</v>
      </c>
      <c r="H424" s="257">
        <f t="shared" si="248"/>
        <v>1</v>
      </c>
      <c r="I424" s="257">
        <f t="shared" si="249"/>
        <v>2</v>
      </c>
      <c r="J424" s="153" t="s">
        <v>41</v>
      </c>
      <c r="K424" s="153" t="s">
        <v>41</v>
      </c>
      <c r="L424" s="39" t="s">
        <v>238</v>
      </c>
      <c r="M424" s="40">
        <v>1</v>
      </c>
      <c r="N424" s="41">
        <f t="shared" si="250"/>
        <v>1</v>
      </c>
      <c r="O424" s="41">
        <f t="shared" si="228"/>
        <v>1.25</v>
      </c>
      <c r="AC424" s="64">
        <f t="shared" si="237"/>
        <v>1</v>
      </c>
      <c r="AD424" s="64">
        <f t="shared" si="237"/>
        <v>2</v>
      </c>
    </row>
    <row r="425" spans="1:37" s="45" customFormat="1" ht="24.75" customHeight="1" x14ac:dyDescent="0.25">
      <c r="A425" s="401" t="s">
        <v>167</v>
      </c>
      <c r="B425" s="624" t="s">
        <v>791</v>
      </c>
      <c r="C425" s="624"/>
      <c r="D425" s="624"/>
      <c r="E425" s="624"/>
      <c r="F425" s="624"/>
      <c r="G425" s="624"/>
      <c r="H425" s="402">
        <f>AVERAGE(N426:N429,N431:N435,N437:N439,N440,N442:N443,N445:N448)</f>
        <v>0.93856534090909094</v>
      </c>
      <c r="I425" s="402">
        <f>AVERAGE(O426:O429,O431:O435,O437:O439,O440,O442:O443,O445:O448)</f>
        <v>0.89405034784537107</v>
      </c>
      <c r="J425" s="403"/>
      <c r="K425" s="403"/>
      <c r="L425" s="404"/>
      <c r="M425" s="61"/>
      <c r="N425" s="188"/>
      <c r="O425" s="41"/>
      <c r="P425" s="47"/>
      <c r="Q425" s="47"/>
      <c r="R425" s="104">
        <f>COUNTA(C426:C448)</f>
        <v>19</v>
      </c>
      <c r="S425" s="96">
        <f>R425-T425-U425-V425-W425</f>
        <v>3</v>
      </c>
      <c r="T425" s="104">
        <f>COUNTIFS(AC426:AC448,"&gt;1,50")</f>
        <v>1</v>
      </c>
      <c r="U425" s="104">
        <f>COUNTIFS(AC426:AC448,"&gt;=0,995",AC426:AC448,"&lt;=1,5")</f>
        <v>13</v>
      </c>
      <c r="V425" s="104">
        <f>COUNTIFS(AC426:AC448,"&gt;=0,85",AC426:AC448,"&lt;0,995")</f>
        <v>0</v>
      </c>
      <c r="W425" s="104">
        <f>COUNTIFS(AC426:AC448,"&lt;0,85")</f>
        <v>2</v>
      </c>
      <c r="X425" s="47"/>
      <c r="Z425" s="94">
        <f>COUNTIFS(AD426:AD448,"&gt;=1,01")</f>
        <v>4</v>
      </c>
      <c r="AA425" s="94">
        <f>COUNTIFS(AD426:AD448,"&gt;=0,99",AD426:AD448,"&lt;1,01")</f>
        <v>3</v>
      </c>
      <c r="AB425" s="95">
        <f>COUNTIFS(AD426:AD448,"&lt;0,99")</f>
        <v>4</v>
      </c>
      <c r="AC425" s="64"/>
      <c r="AD425" s="64"/>
      <c r="AK425" s="45">
        <f>SUM(T425:X425)-R425</f>
        <v>-3</v>
      </c>
    </row>
    <row r="426" spans="1:37" ht="85.5" customHeight="1" outlineLevel="2" x14ac:dyDescent="0.25">
      <c r="A426" s="236" t="s">
        <v>1606</v>
      </c>
      <c r="B426" s="154" t="s">
        <v>1013</v>
      </c>
      <c r="C426" s="153" t="s">
        <v>314</v>
      </c>
      <c r="D426" s="251" t="s">
        <v>298</v>
      </c>
      <c r="E426" s="424">
        <v>0.4</v>
      </c>
      <c r="F426" s="424">
        <v>10</v>
      </c>
      <c r="G426" s="424">
        <v>32</v>
      </c>
      <c r="H426" s="257">
        <f>F426/G426</f>
        <v>0.3125</v>
      </c>
      <c r="I426" s="131">
        <f>E426/G426</f>
        <v>1.2500000000000001E-2</v>
      </c>
      <c r="J426" s="153" t="s">
        <v>1600</v>
      </c>
      <c r="K426" s="153" t="s">
        <v>1601</v>
      </c>
      <c r="L426" s="39" t="s">
        <v>141</v>
      </c>
      <c r="M426" s="40">
        <v>-1</v>
      </c>
      <c r="N426" s="41">
        <f>IF(H426&gt;1,1,H426)</f>
        <v>0.3125</v>
      </c>
      <c r="O426" s="41">
        <f t="shared" si="228"/>
        <v>1.2500000000000001E-2</v>
      </c>
      <c r="AC426" s="64">
        <f t="shared" si="237"/>
        <v>0.3125</v>
      </c>
      <c r="AD426" s="64">
        <f t="shared" si="237"/>
        <v>1.2500000000000001E-2</v>
      </c>
    </row>
    <row r="427" spans="1:37" ht="49.5" customHeight="1" outlineLevel="2" x14ac:dyDescent="0.25">
      <c r="A427" s="236" t="s">
        <v>584</v>
      </c>
      <c r="B427" s="154" t="s">
        <v>1012</v>
      </c>
      <c r="C427" s="153" t="s">
        <v>441</v>
      </c>
      <c r="D427" s="153" t="s">
        <v>331</v>
      </c>
      <c r="E427" s="424">
        <v>1</v>
      </c>
      <c r="F427" s="424">
        <v>1</v>
      </c>
      <c r="G427" s="424">
        <v>1</v>
      </c>
      <c r="H427" s="257">
        <f>G427/F427</f>
        <v>1</v>
      </c>
      <c r="I427" s="262">
        <f>G427/E427</f>
        <v>1</v>
      </c>
      <c r="J427" s="153" t="s">
        <v>41</v>
      </c>
      <c r="K427" s="153" t="s">
        <v>41</v>
      </c>
      <c r="L427" s="39" t="s">
        <v>141</v>
      </c>
      <c r="M427" s="40">
        <v>0</v>
      </c>
      <c r="N427" s="41">
        <v>1</v>
      </c>
      <c r="O427" s="41" t="s">
        <v>41</v>
      </c>
      <c r="AC427" s="64">
        <f t="shared" si="237"/>
        <v>1</v>
      </c>
      <c r="AD427" s="64" t="s">
        <v>41</v>
      </c>
    </row>
    <row r="428" spans="1:37" ht="50.25" customHeight="1" outlineLevel="2" x14ac:dyDescent="0.25">
      <c r="A428" s="236" t="s">
        <v>585</v>
      </c>
      <c r="B428" s="154" t="s">
        <v>1014</v>
      </c>
      <c r="C428" s="153" t="s">
        <v>596</v>
      </c>
      <c r="D428" s="153" t="s">
        <v>331</v>
      </c>
      <c r="E428" s="424" t="s">
        <v>597</v>
      </c>
      <c r="F428" s="424" t="s">
        <v>597</v>
      </c>
      <c r="G428" s="424" t="s">
        <v>597</v>
      </c>
      <c r="H428" s="257">
        <v>1</v>
      </c>
      <c r="I428" s="131">
        <v>1</v>
      </c>
      <c r="J428" s="153" t="s">
        <v>1602</v>
      </c>
      <c r="K428" s="153" t="s">
        <v>1603</v>
      </c>
      <c r="L428" s="39" t="s">
        <v>141</v>
      </c>
      <c r="M428" s="40">
        <v>0</v>
      </c>
      <c r="N428" s="41" t="s">
        <v>41</v>
      </c>
      <c r="O428" s="41" t="s">
        <v>41</v>
      </c>
      <c r="AC428" s="64"/>
      <c r="AD428" s="64"/>
    </row>
    <row r="429" spans="1:37" ht="93" customHeight="1" outlineLevel="2" x14ac:dyDescent="0.25">
      <c r="A429" s="236" t="s">
        <v>1453</v>
      </c>
      <c r="B429" s="154" t="s">
        <v>792</v>
      </c>
      <c r="C429" s="153" t="s">
        <v>314</v>
      </c>
      <c r="D429" s="244" t="s">
        <v>312</v>
      </c>
      <c r="E429" s="424">
        <v>98.8</v>
      </c>
      <c r="F429" s="424">
        <v>96</v>
      </c>
      <c r="G429" s="424">
        <v>99.3</v>
      </c>
      <c r="H429" s="257">
        <f>G429/F429</f>
        <v>1.034375</v>
      </c>
      <c r="I429" s="131">
        <f>G429/E429</f>
        <v>1.0050607287449393</v>
      </c>
      <c r="J429" s="153" t="s">
        <v>41</v>
      </c>
      <c r="K429" s="153" t="s">
        <v>41</v>
      </c>
      <c r="L429" s="39" t="s">
        <v>141</v>
      </c>
      <c r="M429" s="40">
        <v>1</v>
      </c>
      <c r="N429" s="41">
        <f>IF(H429&gt;1,1,H429)</f>
        <v>1</v>
      </c>
      <c r="O429" s="41">
        <f t="shared" ref="O429:O431" si="251">IF(I429&gt;1.25,1.25,I429)</f>
        <v>1.0050607287449393</v>
      </c>
      <c r="AC429" s="64">
        <f t="shared" si="237"/>
        <v>1.034375</v>
      </c>
      <c r="AD429" s="64">
        <f t="shared" si="237"/>
        <v>1.0050607287449393</v>
      </c>
    </row>
    <row r="430" spans="1:37" s="45" customFormat="1" outlineLevel="1" x14ac:dyDescent="0.25">
      <c r="A430" s="65" t="s">
        <v>168</v>
      </c>
      <c r="B430" s="619" t="s">
        <v>599</v>
      </c>
      <c r="C430" s="619"/>
      <c r="D430" s="619"/>
      <c r="E430" s="619"/>
      <c r="F430" s="619"/>
      <c r="G430" s="619"/>
      <c r="H430" s="66">
        <f>AVERAGE(N431:N435)</f>
        <v>0.90151515151515149</v>
      </c>
      <c r="I430" s="66">
        <f>AVERAGE(O431:O435)</f>
        <v>0.85227272727272729</v>
      </c>
      <c r="J430" s="67"/>
      <c r="K430" s="67"/>
      <c r="L430" s="68"/>
      <c r="M430" s="321"/>
      <c r="N430" s="380"/>
      <c r="O430" s="322"/>
      <c r="P430" s="47"/>
      <c r="Q430" s="47"/>
      <c r="R430" s="98">
        <f>COUNTA(C431:C435)</f>
        <v>5</v>
      </c>
      <c r="S430" s="97">
        <v>2</v>
      </c>
      <c r="T430" s="98">
        <f>COUNTIFS(AC431:AC435,"&gt;1,50")</f>
        <v>1</v>
      </c>
      <c r="U430" s="98">
        <f>COUNTIFS(AC431:AC435,"&gt;=0,995",AC431:AC435,"&lt;=1,5")</f>
        <v>1</v>
      </c>
      <c r="V430" s="98">
        <f>COUNTIFS(AC431:AC435,"&gt;=0,85",AC431:AC435,"&lt;0,995")</f>
        <v>0</v>
      </c>
      <c r="W430" s="98">
        <f>COUNTIFS(AC431:AC435,"&lt;0,85")</f>
        <v>1</v>
      </c>
      <c r="X430" s="50">
        <v>2</v>
      </c>
      <c r="Z430" s="90">
        <f>COUNTIFS(AD431:AD435,"&gt;=1,01")</f>
        <v>1</v>
      </c>
      <c r="AA430" s="90">
        <f>COUNTIFS(AD431:AD435,"&gt;=0,99",AD431:AD435,"&lt;1,01")</f>
        <v>0</v>
      </c>
      <c r="AB430" s="91">
        <f>COUNTIFS(AD431:AD435,"&lt;0,99")</f>
        <v>1</v>
      </c>
      <c r="AC430" s="64"/>
      <c r="AD430" s="64"/>
      <c r="AK430" s="45">
        <f>SUM(T430:X430)-R430</f>
        <v>0</v>
      </c>
    </row>
    <row r="431" spans="1:37" ht="82.5" customHeight="1" outlineLevel="2" x14ac:dyDescent="0.25">
      <c r="A431" s="236" t="s">
        <v>586</v>
      </c>
      <c r="B431" s="42" t="s">
        <v>1017</v>
      </c>
      <c r="C431" s="153" t="s">
        <v>314</v>
      </c>
      <c r="D431" s="251" t="s">
        <v>298</v>
      </c>
      <c r="E431" s="248">
        <v>20</v>
      </c>
      <c r="F431" s="248">
        <v>31</v>
      </c>
      <c r="G431" s="248">
        <v>44</v>
      </c>
      <c r="H431" s="131">
        <f>F431/G431</f>
        <v>0.70454545454545459</v>
      </c>
      <c r="I431" s="131">
        <f>E431/G431</f>
        <v>0.45454545454545453</v>
      </c>
      <c r="J431" s="153" t="s">
        <v>1607</v>
      </c>
      <c r="K431" s="153" t="s">
        <v>1608</v>
      </c>
      <c r="L431" s="39" t="s">
        <v>141</v>
      </c>
      <c r="M431" s="40">
        <v>-1</v>
      </c>
      <c r="N431" s="41">
        <f>IF(H431&gt;1,1,H431)</f>
        <v>0.70454545454545459</v>
      </c>
      <c r="O431" s="41">
        <f t="shared" si="251"/>
        <v>0.45454545454545453</v>
      </c>
      <c r="AC431" s="64">
        <f t="shared" si="237"/>
        <v>0.70454545454545459</v>
      </c>
      <c r="AD431" s="64">
        <f t="shared" si="237"/>
        <v>0.45454545454545453</v>
      </c>
    </row>
    <row r="432" spans="1:37" ht="96" customHeight="1" outlineLevel="2" x14ac:dyDescent="0.25">
      <c r="A432" s="236" t="s">
        <v>587</v>
      </c>
      <c r="B432" s="42" t="s">
        <v>793</v>
      </c>
      <c r="C432" s="153" t="s">
        <v>314</v>
      </c>
      <c r="D432" s="244" t="s">
        <v>312</v>
      </c>
      <c r="E432" s="248">
        <v>81.3</v>
      </c>
      <c r="F432" s="248">
        <v>83.5</v>
      </c>
      <c r="G432" s="248">
        <v>83.5</v>
      </c>
      <c r="H432" s="257">
        <f>G432/F432</f>
        <v>1</v>
      </c>
      <c r="I432" s="131">
        <f>G432/E432</f>
        <v>1.0270602706027061</v>
      </c>
      <c r="J432" s="153" t="s">
        <v>1609</v>
      </c>
      <c r="K432" s="153" t="s">
        <v>41</v>
      </c>
      <c r="L432" s="39" t="s">
        <v>141</v>
      </c>
      <c r="M432" s="40">
        <v>1</v>
      </c>
      <c r="N432" s="41" t="s">
        <v>41</v>
      </c>
      <c r="O432" s="41" t="s">
        <v>41</v>
      </c>
      <c r="AC432" s="64" t="s">
        <v>41</v>
      </c>
      <c r="AD432" s="64" t="s">
        <v>41</v>
      </c>
    </row>
    <row r="433" spans="1:37" ht="74.25" customHeight="1" outlineLevel="2" x14ac:dyDescent="0.25">
      <c r="A433" s="236" t="s">
        <v>588</v>
      </c>
      <c r="B433" s="42" t="s">
        <v>794</v>
      </c>
      <c r="C433" s="153" t="s">
        <v>314</v>
      </c>
      <c r="D433" s="244" t="s">
        <v>312</v>
      </c>
      <c r="E433" s="248">
        <v>86.8</v>
      </c>
      <c r="F433" s="248">
        <v>77</v>
      </c>
      <c r="G433" s="248">
        <v>77</v>
      </c>
      <c r="H433" s="257">
        <f>G433/F433</f>
        <v>1</v>
      </c>
      <c r="I433" s="131">
        <f>G433/E433</f>
        <v>0.88709677419354838</v>
      </c>
      <c r="J433" s="153" t="s">
        <v>1610</v>
      </c>
      <c r="K433" s="153" t="s">
        <v>41</v>
      </c>
      <c r="L433" s="39" t="s">
        <v>141</v>
      </c>
      <c r="M433" s="40">
        <v>1</v>
      </c>
      <c r="N433" s="41" t="s">
        <v>41</v>
      </c>
      <c r="O433" s="41" t="s">
        <v>41</v>
      </c>
      <c r="AC433" s="64" t="s">
        <v>41</v>
      </c>
      <c r="AD433" s="64" t="s">
        <v>41</v>
      </c>
    </row>
    <row r="434" spans="1:37" ht="74.25" customHeight="1" outlineLevel="2" x14ac:dyDescent="0.25">
      <c r="A434" s="236" t="s">
        <v>589</v>
      </c>
      <c r="B434" s="42" t="s">
        <v>795</v>
      </c>
      <c r="C434" s="153" t="s">
        <v>314</v>
      </c>
      <c r="D434" s="251" t="s">
        <v>298</v>
      </c>
      <c r="E434" s="248">
        <v>0.05</v>
      </c>
      <c r="F434" s="261">
        <v>0.28000000000000003</v>
      </c>
      <c r="G434" s="248">
        <v>0.02</v>
      </c>
      <c r="H434" s="131">
        <f>F434/G434</f>
        <v>14.000000000000002</v>
      </c>
      <c r="I434" s="131">
        <f>E434/G434</f>
        <v>2.5</v>
      </c>
      <c r="J434" s="153" t="s">
        <v>1611</v>
      </c>
      <c r="K434" s="153" t="s">
        <v>41</v>
      </c>
      <c r="L434" s="39" t="s">
        <v>141</v>
      </c>
      <c r="M434" s="40">
        <v>-1</v>
      </c>
      <c r="N434" s="41">
        <f>IF(H434&gt;1,1,H434)</f>
        <v>1</v>
      </c>
      <c r="O434" s="41">
        <f t="shared" ref="O434" si="252">IF(I434&gt;1.25,1.25,I434)</f>
        <v>1.25</v>
      </c>
      <c r="AC434" s="64">
        <f t="shared" ref="AC434" si="253">H434</f>
        <v>14.000000000000002</v>
      </c>
      <c r="AD434" s="64">
        <f t="shared" ref="AD434" si="254">I434</f>
        <v>2.5</v>
      </c>
    </row>
    <row r="435" spans="1:37" ht="90" customHeight="1" outlineLevel="2" x14ac:dyDescent="0.25">
      <c r="A435" s="236" t="s">
        <v>590</v>
      </c>
      <c r="B435" s="42" t="s">
        <v>1238</v>
      </c>
      <c r="C435" s="153" t="s">
        <v>314</v>
      </c>
      <c r="D435" s="153" t="s">
        <v>331</v>
      </c>
      <c r="E435" s="248">
        <v>1</v>
      </c>
      <c r="F435" s="255">
        <v>1</v>
      </c>
      <c r="G435" s="255">
        <v>1</v>
      </c>
      <c r="H435" s="131">
        <f>F435/G435</f>
        <v>1</v>
      </c>
      <c r="I435" s="131" t="s">
        <v>41</v>
      </c>
      <c r="J435" s="153" t="s">
        <v>41</v>
      </c>
      <c r="K435" s="153" t="s">
        <v>41</v>
      </c>
      <c r="L435" s="39" t="s">
        <v>141</v>
      </c>
      <c r="M435" s="40">
        <v>0</v>
      </c>
      <c r="N435" s="41">
        <f>IF(H435&gt;1,1,H435)</f>
        <v>1</v>
      </c>
      <c r="O435" s="41" t="s">
        <v>41</v>
      </c>
      <c r="AC435" s="64">
        <f t="shared" si="237"/>
        <v>1</v>
      </c>
      <c r="AD435" s="64" t="str">
        <f t="shared" si="237"/>
        <v>-</v>
      </c>
    </row>
    <row r="436" spans="1:37" s="45" customFormat="1" ht="35.25" customHeight="1" outlineLevel="1" x14ac:dyDescent="0.25">
      <c r="A436" s="65" t="s">
        <v>169</v>
      </c>
      <c r="B436" s="621" t="s">
        <v>603</v>
      </c>
      <c r="C436" s="622"/>
      <c r="D436" s="622"/>
      <c r="E436" s="622"/>
      <c r="F436" s="622"/>
      <c r="G436" s="623"/>
      <c r="H436" s="66">
        <f>AVERAGE(N437:N439,N440)</f>
        <v>1</v>
      </c>
      <c r="I436" s="66">
        <f>AVERAGE(O437:O439,O440)</f>
        <v>0.95589348813730446</v>
      </c>
      <c r="J436" s="67"/>
      <c r="K436" s="67"/>
      <c r="L436" s="68"/>
      <c r="M436" s="61"/>
      <c r="N436" s="41"/>
      <c r="O436" s="41"/>
      <c r="P436" s="47"/>
      <c r="Q436" s="47"/>
      <c r="R436" s="98">
        <f>COUNTA(C437:C440)</f>
        <v>4</v>
      </c>
      <c r="S436" s="97">
        <v>0</v>
      </c>
      <c r="T436" s="98">
        <f>COUNTIFS(AC437:AC440,"&gt;1,50")</f>
        <v>0</v>
      </c>
      <c r="U436" s="98">
        <f>COUNTIFS(AC437:AC440,"&gt;=0,995",AC437:AC440,"&lt;=1,5")</f>
        <v>4</v>
      </c>
      <c r="V436" s="98">
        <f>COUNTIFS(AC437:AC440,"&gt;=0,85",AC437:AC440,"&lt;0,995")</f>
        <v>0</v>
      </c>
      <c r="W436" s="98">
        <f>COUNTIFS(AC437:AC440,"&lt;0,85")</f>
        <v>0</v>
      </c>
      <c r="X436" s="50"/>
      <c r="Z436" s="90">
        <f>COUNTIFS(AD437:AD440,"&gt;=1,01")</f>
        <v>0</v>
      </c>
      <c r="AA436" s="90">
        <f>COUNTIFS(AD437:AD440,"&gt;=0,99",AD437:AD440,"&lt;1,01")</f>
        <v>0</v>
      </c>
      <c r="AB436" s="91">
        <f>COUNTIFS(AD437:AD440,"&lt;0,99")</f>
        <v>2</v>
      </c>
      <c r="AC436" s="64"/>
      <c r="AD436" s="64"/>
      <c r="AK436" s="45">
        <f>SUM(T436:X436)-R436</f>
        <v>0</v>
      </c>
    </row>
    <row r="437" spans="1:37" ht="36.75" customHeight="1" outlineLevel="2" x14ac:dyDescent="0.25">
      <c r="A437" s="236" t="s">
        <v>591</v>
      </c>
      <c r="B437" s="42" t="s">
        <v>796</v>
      </c>
      <c r="C437" s="153" t="s">
        <v>314</v>
      </c>
      <c r="D437" s="244" t="s">
        <v>312</v>
      </c>
      <c r="E437" s="248">
        <v>113.2</v>
      </c>
      <c r="F437" s="248">
        <v>105.5</v>
      </c>
      <c r="G437" s="248">
        <v>111.3</v>
      </c>
      <c r="H437" s="131">
        <f>G437/F437</f>
        <v>1.0549763033175354</v>
      </c>
      <c r="I437" s="262">
        <f>G437/E437</f>
        <v>0.9832155477031802</v>
      </c>
      <c r="J437" s="153" t="s">
        <v>41</v>
      </c>
      <c r="K437" s="153" t="s">
        <v>41</v>
      </c>
      <c r="L437" s="39" t="s">
        <v>141</v>
      </c>
      <c r="M437" s="40">
        <v>1</v>
      </c>
      <c r="N437" s="41">
        <f t="shared" ref="N437:N448" si="255">IF(H437&gt;1,1,H437)</f>
        <v>1</v>
      </c>
      <c r="O437" s="41">
        <f t="shared" ref="O437" si="256">IF(I437&gt;1.25,1.25,I437)</f>
        <v>0.9832155477031802</v>
      </c>
      <c r="AC437" s="64">
        <f t="shared" si="237"/>
        <v>1.0549763033175354</v>
      </c>
      <c r="AD437" s="64">
        <f t="shared" si="237"/>
        <v>0.9832155477031802</v>
      </c>
    </row>
    <row r="438" spans="1:37" ht="67.5" outlineLevel="2" x14ac:dyDescent="0.25">
      <c r="A438" s="236" t="s">
        <v>592</v>
      </c>
      <c r="B438" s="42" t="s">
        <v>797</v>
      </c>
      <c r="C438" s="153" t="s">
        <v>607</v>
      </c>
      <c r="D438" s="153" t="s">
        <v>331</v>
      </c>
      <c r="E438" s="248">
        <v>1</v>
      </c>
      <c r="F438" s="248">
        <v>1</v>
      </c>
      <c r="G438" s="248">
        <v>1</v>
      </c>
      <c r="H438" s="131">
        <f>G438/F438</f>
        <v>1</v>
      </c>
      <c r="I438" s="262">
        <f>G438/E438</f>
        <v>1</v>
      </c>
      <c r="J438" s="153" t="s">
        <v>41</v>
      </c>
      <c r="K438" s="153" t="s">
        <v>41</v>
      </c>
      <c r="L438" s="39" t="s">
        <v>141</v>
      </c>
      <c r="M438" s="40">
        <v>0</v>
      </c>
      <c r="N438" s="41">
        <f t="shared" si="255"/>
        <v>1</v>
      </c>
      <c r="O438" s="41" t="s">
        <v>41</v>
      </c>
      <c r="AC438" s="64">
        <f t="shared" si="237"/>
        <v>1</v>
      </c>
      <c r="AD438" s="64"/>
    </row>
    <row r="439" spans="1:37" ht="57.75" customHeight="1" outlineLevel="2" x14ac:dyDescent="0.25">
      <c r="A439" s="236" t="s">
        <v>593</v>
      </c>
      <c r="B439" s="42" t="s">
        <v>798</v>
      </c>
      <c r="C439" s="153" t="s">
        <v>607</v>
      </c>
      <c r="D439" s="153" t="s">
        <v>331</v>
      </c>
      <c r="E439" s="248">
        <v>1</v>
      </c>
      <c r="F439" s="248">
        <v>1</v>
      </c>
      <c r="G439" s="248">
        <v>1</v>
      </c>
      <c r="H439" s="131">
        <f>G439/F439</f>
        <v>1</v>
      </c>
      <c r="I439" s="262">
        <f>G439/E439</f>
        <v>1</v>
      </c>
      <c r="J439" s="153" t="s">
        <v>41</v>
      </c>
      <c r="K439" s="153" t="s">
        <v>41</v>
      </c>
      <c r="L439" s="39" t="s">
        <v>141</v>
      </c>
      <c r="M439" s="40">
        <v>0</v>
      </c>
      <c r="N439" s="41">
        <f t="shared" si="255"/>
        <v>1</v>
      </c>
      <c r="O439" s="41" t="s">
        <v>41</v>
      </c>
      <c r="AC439" s="64">
        <f t="shared" si="237"/>
        <v>1</v>
      </c>
      <c r="AD439" s="64"/>
    </row>
    <row r="440" spans="1:37" ht="40.5" customHeight="1" outlineLevel="2" x14ac:dyDescent="0.25">
      <c r="A440" s="236" t="s">
        <v>1454</v>
      </c>
      <c r="B440" s="42" t="s">
        <v>799</v>
      </c>
      <c r="C440" s="153" t="s">
        <v>334</v>
      </c>
      <c r="D440" s="244" t="s">
        <v>312</v>
      </c>
      <c r="E440" s="248">
        <v>14</v>
      </c>
      <c r="F440" s="248">
        <v>13</v>
      </c>
      <c r="G440" s="248">
        <v>13</v>
      </c>
      <c r="H440" s="131">
        <f>G440/F440</f>
        <v>1</v>
      </c>
      <c r="I440" s="131">
        <f>G440/E440</f>
        <v>0.9285714285714286</v>
      </c>
      <c r="J440" s="153" t="s">
        <v>41</v>
      </c>
      <c r="K440" s="153" t="s">
        <v>41</v>
      </c>
      <c r="L440" s="39" t="s">
        <v>141</v>
      </c>
      <c r="M440" s="40">
        <v>1</v>
      </c>
      <c r="N440" s="41">
        <f t="shared" si="255"/>
        <v>1</v>
      </c>
      <c r="O440" s="41">
        <f t="shared" ref="O440:O447" si="257">IF(I440&gt;1.25,1.25,I440)</f>
        <v>0.9285714285714286</v>
      </c>
      <c r="AC440" s="64">
        <f t="shared" si="237"/>
        <v>1</v>
      </c>
      <c r="AD440" s="64">
        <f t="shared" si="237"/>
        <v>0.9285714285714286</v>
      </c>
    </row>
    <row r="441" spans="1:37" s="45" customFormat="1" ht="36" customHeight="1" outlineLevel="1" x14ac:dyDescent="0.25">
      <c r="A441" s="65" t="s">
        <v>1455</v>
      </c>
      <c r="B441" s="619" t="s">
        <v>800</v>
      </c>
      <c r="C441" s="619"/>
      <c r="D441" s="619"/>
      <c r="E441" s="619"/>
      <c r="F441" s="619"/>
      <c r="G441" s="619"/>
      <c r="H441" s="66">
        <f>AVERAGE(N442:N443)</f>
        <v>1</v>
      </c>
      <c r="I441" s="66">
        <f>AVERAGE(O442:O443)</f>
        <v>1</v>
      </c>
      <c r="J441" s="67"/>
      <c r="K441" s="67"/>
      <c r="L441" s="68"/>
      <c r="M441" s="61"/>
      <c r="N441" s="41"/>
      <c r="O441" s="41"/>
      <c r="P441" s="47"/>
      <c r="Q441" s="47"/>
      <c r="R441" s="98">
        <f>COUNTA(C442:C443)</f>
        <v>2</v>
      </c>
      <c r="S441" s="97">
        <v>0</v>
      </c>
      <c r="T441" s="98">
        <f>COUNTIFS(AC442:AC443,"&gt;1,50")</f>
        <v>0</v>
      </c>
      <c r="U441" s="98">
        <f>COUNTIFS(AC442:AC443,"&gt;=0,995",AC442:AC443,"&lt;=1,5")</f>
        <v>2</v>
      </c>
      <c r="V441" s="98">
        <f>COUNTIFS(AC442:AC443,"&gt;=0,85",AC442:AC443,"&lt;0,995")</f>
        <v>0</v>
      </c>
      <c r="W441" s="98">
        <f>COUNTIFS(AC442:AC443,"&lt;0,85")</f>
        <v>0</v>
      </c>
      <c r="X441" s="50"/>
      <c r="Z441" s="90">
        <f>COUNTIFS(AD442:AD443,"&gt;=1,01")</f>
        <v>0</v>
      </c>
      <c r="AA441" s="90">
        <f>COUNTIFS(AD442:AD443,"&gt;=0,99",AD442:AD443,"&lt;1,01")</f>
        <v>2</v>
      </c>
      <c r="AB441" s="91">
        <f>COUNTIFS(AD442:AD443,"&lt;0,99")</f>
        <v>0</v>
      </c>
      <c r="AC441" s="64"/>
      <c r="AD441" s="64"/>
      <c r="AK441" s="45">
        <f>SUM(T441:X441)-R441</f>
        <v>0</v>
      </c>
    </row>
    <row r="442" spans="1:37" ht="42" customHeight="1" outlineLevel="2" x14ac:dyDescent="0.25">
      <c r="A442" s="236" t="s">
        <v>1456</v>
      </c>
      <c r="B442" s="154" t="s">
        <v>801</v>
      </c>
      <c r="C442" s="153" t="s">
        <v>314</v>
      </c>
      <c r="D442" s="244" t="s">
        <v>312</v>
      </c>
      <c r="E442" s="248">
        <v>100</v>
      </c>
      <c r="F442" s="248">
        <v>97.7</v>
      </c>
      <c r="G442" s="248">
        <v>100</v>
      </c>
      <c r="H442" s="131">
        <f>G442/F442</f>
        <v>1.0235414534288638</v>
      </c>
      <c r="I442" s="131">
        <f>G442/E442</f>
        <v>1</v>
      </c>
      <c r="J442" s="153" t="s">
        <v>41</v>
      </c>
      <c r="K442" s="153" t="s">
        <v>41</v>
      </c>
      <c r="L442" s="62" t="s">
        <v>171</v>
      </c>
      <c r="M442" s="40">
        <v>1</v>
      </c>
      <c r="N442" s="41">
        <f t="shared" si="255"/>
        <v>1</v>
      </c>
      <c r="O442" s="41">
        <f t="shared" si="257"/>
        <v>1</v>
      </c>
      <c r="AC442" s="64">
        <f t="shared" si="237"/>
        <v>1.0235414534288638</v>
      </c>
      <c r="AD442" s="64">
        <f t="shared" si="237"/>
        <v>1</v>
      </c>
    </row>
    <row r="443" spans="1:37" ht="68.25" customHeight="1" outlineLevel="2" x14ac:dyDescent="0.25">
      <c r="A443" s="236" t="s">
        <v>1457</v>
      </c>
      <c r="B443" s="42" t="s">
        <v>802</v>
      </c>
      <c r="C443" s="153" t="s">
        <v>314</v>
      </c>
      <c r="D443" s="244" t="s">
        <v>312</v>
      </c>
      <c r="E443" s="248">
        <v>100</v>
      </c>
      <c r="F443" s="248">
        <v>99.6</v>
      </c>
      <c r="G443" s="248">
        <v>100</v>
      </c>
      <c r="H443" s="131">
        <f>G443/F443</f>
        <v>1.0040160642570282</v>
      </c>
      <c r="I443" s="131">
        <f>G443/E443</f>
        <v>1</v>
      </c>
      <c r="J443" s="153" t="s">
        <v>41</v>
      </c>
      <c r="K443" s="153" t="s">
        <v>41</v>
      </c>
      <c r="L443" s="62" t="s">
        <v>171</v>
      </c>
      <c r="M443" s="40">
        <v>1</v>
      </c>
      <c r="N443" s="41">
        <f t="shared" si="255"/>
        <v>1</v>
      </c>
      <c r="O443" s="41">
        <f t="shared" si="257"/>
        <v>1</v>
      </c>
      <c r="AC443" s="64">
        <f t="shared" si="237"/>
        <v>1.0040160642570282</v>
      </c>
      <c r="AD443" s="64">
        <f t="shared" si="237"/>
        <v>1</v>
      </c>
    </row>
    <row r="444" spans="1:37" s="45" customFormat="1" ht="24.75" customHeight="1" outlineLevel="1" x14ac:dyDescent="0.25">
      <c r="A444" s="65" t="s">
        <v>1458</v>
      </c>
      <c r="B444" s="619" t="s">
        <v>803</v>
      </c>
      <c r="C444" s="619"/>
      <c r="D444" s="619"/>
      <c r="E444" s="619"/>
      <c r="F444" s="619"/>
      <c r="G444" s="619"/>
      <c r="H444" s="66">
        <f>AVERAGE(N445:N448)</f>
        <v>1</v>
      </c>
      <c r="I444" s="66">
        <f>AVERAGE(O445:O448)</f>
        <v>1.0668868889113605</v>
      </c>
      <c r="J444" s="67"/>
      <c r="K444" s="67"/>
      <c r="L444" s="68"/>
      <c r="M444" s="61"/>
      <c r="N444" s="41"/>
      <c r="O444" s="41"/>
      <c r="P444" s="47"/>
      <c r="Q444" s="47"/>
      <c r="R444" s="98">
        <f>COUNTA(C445:C448)</f>
        <v>4</v>
      </c>
      <c r="S444" s="97">
        <v>0</v>
      </c>
      <c r="T444" s="98">
        <f>COUNTIFS(AC445:AC448,"&gt;1,50")</f>
        <v>0</v>
      </c>
      <c r="U444" s="98">
        <f>COUNTIFS(AC445:AC448,"&gt;=0,995",AC445:AC448,"&lt;=1,5")</f>
        <v>4</v>
      </c>
      <c r="V444" s="98">
        <f>COUNTIFS(AC445:AC448,"&gt;=0,85",AC445:AC448,"&lt;0,995")</f>
        <v>0</v>
      </c>
      <c r="W444" s="98">
        <f>COUNTIFS(AC445:AC448,"&lt;0,85")</f>
        <v>0</v>
      </c>
      <c r="X444" s="50"/>
      <c r="Z444" s="90">
        <f>COUNTIFS(AD445:AD448,"&gt;=1,01")</f>
        <v>3</v>
      </c>
      <c r="AA444" s="90">
        <f>COUNTIFS(AD445:AD448,"&gt;=0,99",AD445:AD448,"&lt;1,01")</f>
        <v>0</v>
      </c>
      <c r="AB444" s="91">
        <f>COUNTIFS(AD445:AD448,"&lt;0,99")</f>
        <v>0</v>
      </c>
      <c r="AC444" s="64"/>
      <c r="AD444" s="64"/>
      <c r="AK444" s="45">
        <f>SUM(T444:X444)-R444</f>
        <v>0</v>
      </c>
    </row>
    <row r="445" spans="1:37" ht="33.75" outlineLevel="2" x14ac:dyDescent="0.25">
      <c r="A445" s="236" t="s">
        <v>1459</v>
      </c>
      <c r="B445" s="154" t="s">
        <v>804</v>
      </c>
      <c r="C445" s="153" t="s">
        <v>334</v>
      </c>
      <c r="D445" s="244" t="s">
        <v>312</v>
      </c>
      <c r="E445" s="248">
        <v>2.9</v>
      </c>
      <c r="F445" s="248">
        <v>3</v>
      </c>
      <c r="G445" s="248">
        <v>3</v>
      </c>
      <c r="H445" s="257">
        <f>G445/F445</f>
        <v>1</v>
      </c>
      <c r="I445" s="262">
        <f>G445/E445</f>
        <v>1.0344827586206897</v>
      </c>
      <c r="J445" s="153" t="s">
        <v>41</v>
      </c>
      <c r="K445" s="153" t="s">
        <v>41</v>
      </c>
      <c r="L445" s="39" t="s">
        <v>808</v>
      </c>
      <c r="M445" s="40">
        <v>1</v>
      </c>
      <c r="N445" s="41">
        <f t="shared" si="255"/>
        <v>1</v>
      </c>
      <c r="O445" s="41">
        <f t="shared" si="257"/>
        <v>1.0344827586206897</v>
      </c>
      <c r="AC445" s="64">
        <f t="shared" si="237"/>
        <v>1</v>
      </c>
      <c r="AD445" s="64">
        <f t="shared" si="237"/>
        <v>1.0344827586206897</v>
      </c>
    </row>
    <row r="446" spans="1:37" ht="36.75" customHeight="1" outlineLevel="2" x14ac:dyDescent="0.25">
      <c r="A446" s="236" t="s">
        <v>1460</v>
      </c>
      <c r="B446" s="154" t="s">
        <v>805</v>
      </c>
      <c r="C446" s="153" t="s">
        <v>314</v>
      </c>
      <c r="D446" s="244" t="s">
        <v>312</v>
      </c>
      <c r="E446" s="248">
        <v>11</v>
      </c>
      <c r="F446" s="248">
        <v>12</v>
      </c>
      <c r="G446" s="248">
        <v>12</v>
      </c>
      <c r="H446" s="257">
        <f>G446/F446</f>
        <v>1</v>
      </c>
      <c r="I446" s="262">
        <f>G446/E446</f>
        <v>1.0909090909090908</v>
      </c>
      <c r="J446" s="153" t="s">
        <v>41</v>
      </c>
      <c r="K446" s="153" t="s">
        <v>41</v>
      </c>
      <c r="L446" s="39" t="s">
        <v>808</v>
      </c>
      <c r="M446" s="40">
        <v>1</v>
      </c>
      <c r="N446" s="41">
        <f t="shared" si="255"/>
        <v>1</v>
      </c>
      <c r="O446" s="41">
        <f t="shared" si="257"/>
        <v>1.0909090909090908</v>
      </c>
      <c r="AC446" s="64">
        <f t="shared" si="237"/>
        <v>1</v>
      </c>
      <c r="AD446" s="64">
        <f t="shared" si="237"/>
        <v>1.0909090909090908</v>
      </c>
    </row>
    <row r="447" spans="1:37" ht="71.25" customHeight="1" outlineLevel="2" x14ac:dyDescent="0.25">
      <c r="A447" s="236" t="s">
        <v>1461</v>
      </c>
      <c r="B447" s="154" t="s">
        <v>806</v>
      </c>
      <c r="C447" s="153" t="s">
        <v>314</v>
      </c>
      <c r="D447" s="244" t="s">
        <v>312</v>
      </c>
      <c r="E447" s="248">
        <v>9.3000000000000007</v>
      </c>
      <c r="F447" s="248">
        <v>9.5</v>
      </c>
      <c r="G447" s="248">
        <v>10</v>
      </c>
      <c r="H447" s="257">
        <f>G447/F447</f>
        <v>1.0526315789473684</v>
      </c>
      <c r="I447" s="262">
        <f>G447/E447</f>
        <v>1.075268817204301</v>
      </c>
      <c r="J447" s="153" t="s">
        <v>1239</v>
      </c>
      <c r="K447" s="153" t="s">
        <v>41</v>
      </c>
      <c r="L447" s="39" t="s">
        <v>808</v>
      </c>
      <c r="M447" s="40">
        <v>1</v>
      </c>
      <c r="N447" s="41">
        <f t="shared" si="255"/>
        <v>1</v>
      </c>
      <c r="O447" s="41">
        <f t="shared" si="257"/>
        <v>1.075268817204301</v>
      </c>
      <c r="AC447" s="64">
        <f t="shared" si="237"/>
        <v>1.0526315789473684</v>
      </c>
      <c r="AD447" s="64">
        <f t="shared" si="237"/>
        <v>1.075268817204301</v>
      </c>
    </row>
    <row r="448" spans="1:37" ht="63" customHeight="1" outlineLevel="2" x14ac:dyDescent="0.25">
      <c r="A448" s="236" t="s">
        <v>1462</v>
      </c>
      <c r="B448" s="154" t="s">
        <v>807</v>
      </c>
      <c r="C448" s="153" t="s">
        <v>314</v>
      </c>
      <c r="D448" s="244" t="s">
        <v>312</v>
      </c>
      <c r="E448" s="248" t="s">
        <v>41</v>
      </c>
      <c r="F448" s="248">
        <v>1</v>
      </c>
      <c r="G448" s="248">
        <v>1</v>
      </c>
      <c r="H448" s="257">
        <f>G448/F448</f>
        <v>1</v>
      </c>
      <c r="I448" s="262" t="s">
        <v>41</v>
      </c>
      <c r="J448" s="153" t="s">
        <v>41</v>
      </c>
      <c r="K448" s="153" t="s">
        <v>41</v>
      </c>
      <c r="L448" s="39" t="s">
        <v>808</v>
      </c>
      <c r="M448" s="40">
        <v>1</v>
      </c>
      <c r="N448" s="41">
        <f t="shared" si="255"/>
        <v>1</v>
      </c>
      <c r="O448" s="41" t="s">
        <v>41</v>
      </c>
      <c r="AC448" s="64">
        <f t="shared" si="237"/>
        <v>1</v>
      </c>
      <c r="AD448" s="64" t="str">
        <f t="shared" si="237"/>
        <v>-</v>
      </c>
    </row>
    <row r="449" spans="1:37" s="45" customFormat="1" ht="17.25" customHeight="1" x14ac:dyDescent="0.25">
      <c r="A449" s="401" t="s">
        <v>170</v>
      </c>
      <c r="B449" s="624" t="s">
        <v>636</v>
      </c>
      <c r="C449" s="624"/>
      <c r="D449" s="624"/>
      <c r="E449" s="624"/>
      <c r="F449" s="624"/>
      <c r="G449" s="624"/>
      <c r="H449" s="402">
        <f>AVERAGE(N450:N457,N459:N467,N469:N475,N477:N486,N488:N491,N493:N494)</f>
        <v>0.99280735934899489</v>
      </c>
      <c r="I449" s="402">
        <f>AVERAGE(O450:O457,O459:O467,O469:O475,O477:O486,O488:O491,O493:O494)</f>
        <v>1.0230993725606254</v>
      </c>
      <c r="J449" s="403"/>
      <c r="K449" s="403"/>
      <c r="L449" s="404"/>
      <c r="M449" s="122"/>
      <c r="N449" s="188"/>
      <c r="O449" s="188"/>
      <c r="P449" s="47"/>
      <c r="Q449" s="47"/>
      <c r="R449" s="104">
        <f>COUNTA(C450:C494)</f>
        <v>40</v>
      </c>
      <c r="S449" s="96">
        <f>R449-T449-U449-V449-W449</f>
        <v>1</v>
      </c>
      <c r="T449" s="104">
        <f>COUNTIFS(AC450:AC494,"&gt;1,50")</f>
        <v>6</v>
      </c>
      <c r="U449" s="104">
        <f>COUNTIFS(AC450:AC494,"&gt;=0,995",AC450:AC494,"&lt;=1,5")</f>
        <v>31</v>
      </c>
      <c r="V449" s="104">
        <f>COUNTIFS(AC450:AC494,"&gt;=0,85",AC450:AC494,"&lt;0,995")</f>
        <v>1</v>
      </c>
      <c r="W449" s="104">
        <f>COUNTIFS(AC450:AC494,"&lt;0,85")</f>
        <v>1</v>
      </c>
      <c r="X449" s="47"/>
      <c r="Z449" s="94">
        <f>COUNTIFS(AD450:AD494,"&gt;=1,01")</f>
        <v>12</v>
      </c>
      <c r="AA449" s="94">
        <f>COUNTIFS(AD450:AD494,"&gt;=0,99",AD450:AD494,"&lt;1,01")</f>
        <v>16</v>
      </c>
      <c r="AB449" s="95">
        <f>COUNTIFS(AD450:AD494,"&lt;0,99")</f>
        <v>4</v>
      </c>
      <c r="AC449" s="64"/>
      <c r="AD449" s="64"/>
      <c r="AK449" s="45">
        <f>SUM(T449:X449)-R449</f>
        <v>-1</v>
      </c>
    </row>
    <row r="450" spans="1:37" ht="56.25" outlineLevel="2" x14ac:dyDescent="0.25">
      <c r="A450" s="236" t="s">
        <v>594</v>
      </c>
      <c r="B450" s="149" t="s">
        <v>809</v>
      </c>
      <c r="C450" s="148" t="s">
        <v>314</v>
      </c>
      <c r="D450" s="244" t="s">
        <v>312</v>
      </c>
      <c r="E450" s="148">
        <v>38</v>
      </c>
      <c r="F450" s="148">
        <v>68</v>
      </c>
      <c r="G450" s="148">
        <v>72</v>
      </c>
      <c r="H450" s="257">
        <f>G450/F450</f>
        <v>1.0588235294117647</v>
      </c>
      <c r="I450" s="257">
        <f>G450/E450</f>
        <v>1.8947368421052631</v>
      </c>
      <c r="J450" s="148" t="s">
        <v>1667</v>
      </c>
      <c r="K450" s="433" t="s">
        <v>41</v>
      </c>
      <c r="L450" s="39" t="s">
        <v>180</v>
      </c>
      <c r="M450" s="40">
        <v>1</v>
      </c>
      <c r="N450" s="41">
        <f t="shared" ref="N450:N494" si="258">IF(H450&gt;1,1,H450)</f>
        <v>1</v>
      </c>
      <c r="O450" s="41">
        <f>IF(I450&gt;1.25,1.25,I450)</f>
        <v>1.25</v>
      </c>
      <c r="AC450" s="64">
        <f t="shared" si="237"/>
        <v>1.0588235294117647</v>
      </c>
      <c r="AD450" s="64">
        <f t="shared" si="237"/>
        <v>1.8947368421052631</v>
      </c>
    </row>
    <row r="451" spans="1:37" ht="67.5" outlineLevel="2" x14ac:dyDescent="0.25">
      <c r="A451" s="236" t="s">
        <v>595</v>
      </c>
      <c r="B451" s="149" t="s">
        <v>615</v>
      </c>
      <c r="C451" s="148" t="s">
        <v>314</v>
      </c>
      <c r="D451" s="244" t="s">
        <v>312</v>
      </c>
      <c r="E451" s="148">
        <v>100</v>
      </c>
      <c r="F451" s="148">
        <v>100</v>
      </c>
      <c r="G451" s="148">
        <v>100</v>
      </c>
      <c r="H451" s="257">
        <f t="shared" ref="H451:H457" si="259">G451/F451</f>
        <v>1</v>
      </c>
      <c r="I451" s="257">
        <f t="shared" ref="I451:I457" si="260">G451/E451</f>
        <v>1</v>
      </c>
      <c r="J451" s="348" t="s">
        <v>41</v>
      </c>
      <c r="K451" s="433" t="s">
        <v>41</v>
      </c>
      <c r="L451" s="39" t="s">
        <v>1252</v>
      </c>
      <c r="M451" s="40">
        <v>1</v>
      </c>
      <c r="N451" s="41">
        <f t="shared" si="258"/>
        <v>1</v>
      </c>
      <c r="O451" s="41">
        <f t="shared" ref="O451:O494" si="261">IF(I451&gt;1.25,1.25,I451)</f>
        <v>1</v>
      </c>
      <c r="AC451" s="64">
        <f t="shared" si="237"/>
        <v>1</v>
      </c>
      <c r="AD451" s="64">
        <f t="shared" si="237"/>
        <v>1</v>
      </c>
    </row>
    <row r="452" spans="1:37" ht="76.5" customHeight="1" outlineLevel="2" x14ac:dyDescent="0.25">
      <c r="A452" s="236" t="s">
        <v>598</v>
      </c>
      <c r="B452" s="149" t="s">
        <v>810</v>
      </c>
      <c r="C452" s="148" t="s">
        <v>314</v>
      </c>
      <c r="D452" s="244" t="s">
        <v>312</v>
      </c>
      <c r="E452" s="148">
        <v>100</v>
      </c>
      <c r="F452" s="148">
        <v>100</v>
      </c>
      <c r="G452" s="148">
        <v>100</v>
      </c>
      <c r="H452" s="257">
        <f t="shared" si="259"/>
        <v>1</v>
      </c>
      <c r="I452" s="257">
        <f t="shared" si="260"/>
        <v>1</v>
      </c>
      <c r="J452" s="430" t="s">
        <v>41</v>
      </c>
      <c r="K452" s="431" t="s">
        <v>41</v>
      </c>
      <c r="L452" s="39" t="s">
        <v>815</v>
      </c>
      <c r="M452" s="40">
        <v>1</v>
      </c>
      <c r="N452" s="41">
        <f t="shared" si="258"/>
        <v>1</v>
      </c>
      <c r="O452" s="41">
        <f t="shared" si="261"/>
        <v>1</v>
      </c>
      <c r="AC452" s="64">
        <f t="shared" si="237"/>
        <v>1</v>
      </c>
      <c r="AD452" s="64">
        <f t="shared" si="237"/>
        <v>1</v>
      </c>
    </row>
    <row r="453" spans="1:37" ht="56.25" outlineLevel="2" x14ac:dyDescent="0.25">
      <c r="A453" s="236" t="s">
        <v>1463</v>
      </c>
      <c r="B453" s="149" t="s">
        <v>811</v>
      </c>
      <c r="C453" s="150" t="s">
        <v>314</v>
      </c>
      <c r="D453" s="244" t="s">
        <v>312</v>
      </c>
      <c r="E453" s="148">
        <v>95.8</v>
      </c>
      <c r="F453" s="148">
        <v>95.5</v>
      </c>
      <c r="G453" s="148">
        <v>95.5</v>
      </c>
      <c r="H453" s="257">
        <f t="shared" si="259"/>
        <v>1</v>
      </c>
      <c r="I453" s="257">
        <f t="shared" si="260"/>
        <v>0.99686847599164929</v>
      </c>
      <c r="J453" s="432" t="s">
        <v>41</v>
      </c>
      <c r="K453" s="431" t="s">
        <v>41</v>
      </c>
      <c r="L453" s="39" t="s">
        <v>815</v>
      </c>
      <c r="M453" s="40">
        <v>1</v>
      </c>
      <c r="N453" s="41">
        <f t="shared" si="258"/>
        <v>1</v>
      </c>
      <c r="O453" s="41">
        <f t="shared" si="261"/>
        <v>0.99686847599164929</v>
      </c>
      <c r="AC453" s="64">
        <f t="shared" si="237"/>
        <v>1</v>
      </c>
      <c r="AD453" s="64">
        <f t="shared" si="237"/>
        <v>0.99686847599164929</v>
      </c>
    </row>
    <row r="454" spans="1:37" ht="90" outlineLevel="2" x14ac:dyDescent="0.25">
      <c r="A454" s="236" t="s">
        <v>1464</v>
      </c>
      <c r="B454" s="149" t="s">
        <v>812</v>
      </c>
      <c r="C454" s="148" t="s">
        <v>314</v>
      </c>
      <c r="D454" s="244" t="s">
        <v>312</v>
      </c>
      <c r="E454" s="148">
        <v>98.77</v>
      </c>
      <c r="F454" s="148">
        <v>94</v>
      </c>
      <c r="G454" s="148">
        <v>99.33</v>
      </c>
      <c r="H454" s="257">
        <f t="shared" si="259"/>
        <v>1.0567021276595745</v>
      </c>
      <c r="I454" s="257">
        <f t="shared" si="260"/>
        <v>1.005669737774628</v>
      </c>
      <c r="J454" s="148" t="s">
        <v>1668</v>
      </c>
      <c r="K454" s="148" t="s">
        <v>41</v>
      </c>
      <c r="L454" s="39" t="s">
        <v>1253</v>
      </c>
      <c r="M454" s="40">
        <v>1</v>
      </c>
      <c r="N454" s="41">
        <f t="shared" si="258"/>
        <v>1</v>
      </c>
      <c r="O454" s="41">
        <f t="shared" si="261"/>
        <v>1.005669737774628</v>
      </c>
      <c r="AC454" s="64">
        <f t="shared" si="237"/>
        <v>1.0567021276595745</v>
      </c>
      <c r="AD454" s="64">
        <f t="shared" si="237"/>
        <v>1.005669737774628</v>
      </c>
    </row>
    <row r="455" spans="1:37" ht="45" outlineLevel="2" x14ac:dyDescent="0.25">
      <c r="A455" s="236" t="s">
        <v>1465</v>
      </c>
      <c r="B455" s="149" t="s">
        <v>813</v>
      </c>
      <c r="C455" s="148" t="s">
        <v>314</v>
      </c>
      <c r="D455" s="244" t="s">
        <v>312</v>
      </c>
      <c r="E455" s="148">
        <v>70.489999999999995</v>
      </c>
      <c r="F455" s="148">
        <v>70.48</v>
      </c>
      <c r="G455" s="148">
        <v>70.48</v>
      </c>
      <c r="H455" s="257">
        <f t="shared" si="259"/>
        <v>1</v>
      </c>
      <c r="I455" s="257">
        <f t="shared" si="260"/>
        <v>0.99985813590580241</v>
      </c>
      <c r="J455" s="148" t="s">
        <v>1670</v>
      </c>
      <c r="K455" s="148" t="s">
        <v>41</v>
      </c>
      <c r="L455" s="39" t="s">
        <v>1253</v>
      </c>
      <c r="M455" s="40">
        <v>1</v>
      </c>
      <c r="N455" s="41" t="s">
        <v>41</v>
      </c>
      <c r="O455" s="41" t="s">
        <v>41</v>
      </c>
      <c r="AC455" s="64"/>
      <c r="AD455" s="64"/>
    </row>
    <row r="456" spans="1:37" ht="33.75" outlineLevel="2" x14ac:dyDescent="0.25">
      <c r="A456" s="236" t="s">
        <v>1466</v>
      </c>
      <c r="B456" s="149" t="s">
        <v>616</v>
      </c>
      <c r="C456" s="148" t="s">
        <v>314</v>
      </c>
      <c r="D456" s="244" t="s">
        <v>312</v>
      </c>
      <c r="E456" s="148">
        <v>78.5</v>
      </c>
      <c r="F456" s="148">
        <v>79</v>
      </c>
      <c r="G456" s="148">
        <v>79</v>
      </c>
      <c r="H456" s="257">
        <f t="shared" si="259"/>
        <v>1</v>
      </c>
      <c r="I456" s="257">
        <f t="shared" si="260"/>
        <v>1.0063694267515924</v>
      </c>
      <c r="J456" s="148" t="s">
        <v>41</v>
      </c>
      <c r="K456" s="148" t="s">
        <v>41</v>
      </c>
      <c r="L456" s="39" t="s">
        <v>657</v>
      </c>
      <c r="M456" s="40">
        <v>1</v>
      </c>
      <c r="N456" s="41">
        <f t="shared" si="258"/>
        <v>1</v>
      </c>
      <c r="O456" s="41">
        <f t="shared" si="261"/>
        <v>1.0063694267515924</v>
      </c>
      <c r="AC456" s="64">
        <f t="shared" si="237"/>
        <v>1</v>
      </c>
      <c r="AD456" s="64">
        <f t="shared" si="237"/>
        <v>1.0063694267515924</v>
      </c>
    </row>
    <row r="457" spans="1:37" ht="67.5" outlineLevel="2" x14ac:dyDescent="0.25">
      <c r="A457" s="236" t="s">
        <v>1467</v>
      </c>
      <c r="B457" s="156" t="s">
        <v>1250</v>
      </c>
      <c r="C457" s="148" t="s">
        <v>314</v>
      </c>
      <c r="D457" s="244" t="s">
        <v>312</v>
      </c>
      <c r="E457" s="148">
        <v>97.2</v>
      </c>
      <c r="F457" s="148">
        <v>81</v>
      </c>
      <c r="G457" s="148">
        <v>97.5</v>
      </c>
      <c r="H457" s="257">
        <f t="shared" si="259"/>
        <v>1.2037037037037037</v>
      </c>
      <c r="I457" s="257">
        <f t="shared" si="260"/>
        <v>1.0030864197530864</v>
      </c>
      <c r="J457" s="148" t="s">
        <v>1669</v>
      </c>
      <c r="K457" s="148" t="s">
        <v>41</v>
      </c>
      <c r="L457" s="39" t="s">
        <v>815</v>
      </c>
      <c r="M457" s="40">
        <v>1</v>
      </c>
      <c r="N457" s="41">
        <f t="shared" si="258"/>
        <v>1</v>
      </c>
      <c r="O457" s="41" t="s">
        <v>41</v>
      </c>
      <c r="AC457" s="64">
        <f t="shared" si="237"/>
        <v>1.2037037037037037</v>
      </c>
      <c r="AD457" s="64"/>
    </row>
    <row r="458" spans="1:37" s="45" customFormat="1" outlineLevel="1" x14ac:dyDescent="0.25">
      <c r="A458" s="65" t="s">
        <v>172</v>
      </c>
      <c r="B458" s="621" t="s">
        <v>617</v>
      </c>
      <c r="C458" s="622"/>
      <c r="D458" s="622"/>
      <c r="E458" s="622"/>
      <c r="F458" s="622"/>
      <c r="G458" s="623"/>
      <c r="H458" s="66">
        <f>AVERAGE(N459:N467)</f>
        <v>0.99713261648745521</v>
      </c>
      <c r="I458" s="66">
        <f>AVERAGE(O459:O467)</f>
        <v>0.93567661254833479</v>
      </c>
      <c r="J458" s="67"/>
      <c r="K458" s="67"/>
      <c r="L458" s="68"/>
      <c r="M458" s="61"/>
      <c r="N458" s="41"/>
      <c r="O458" s="41"/>
      <c r="P458" s="47"/>
      <c r="Q458" s="47"/>
      <c r="R458" s="98">
        <f>COUNTA(C459:C467)</f>
        <v>9</v>
      </c>
      <c r="S458" s="97">
        <v>0</v>
      </c>
      <c r="T458" s="98">
        <f>COUNTIFS(AC459:AC467,"&gt;1,50")</f>
        <v>3</v>
      </c>
      <c r="U458" s="98">
        <f>COUNTIFS(AC459:AC467,"&gt;=0,995",AC459:AC467,"&lt;=1,5")</f>
        <v>5</v>
      </c>
      <c r="V458" s="98">
        <f>COUNTIFS(AC459:AC467,"&gt;=0,85",AC459:AC467,"&lt;0,995")</f>
        <v>1</v>
      </c>
      <c r="W458" s="98">
        <f>COUNTIFS(AC459:AC467,"&lt;0,85")</f>
        <v>0</v>
      </c>
      <c r="X458" s="50"/>
      <c r="Z458" s="90">
        <f>COUNTIFS(AD459:AD467,"&gt;=1,01")</f>
        <v>2</v>
      </c>
      <c r="AA458" s="90">
        <f>COUNTIFS(AD459:AD467,"&gt;=0,99",AD459:AD467,"&lt;1,01")</f>
        <v>2</v>
      </c>
      <c r="AB458" s="91">
        <f>COUNTIFS(AD459:AD467,"&lt;0,99")</f>
        <v>3</v>
      </c>
      <c r="AC458" s="64"/>
      <c r="AD458" s="64"/>
      <c r="AK458" s="45">
        <f>SUM(T458:X458)-R458</f>
        <v>0</v>
      </c>
    </row>
    <row r="459" spans="1:37" ht="80.25" customHeight="1" outlineLevel="2" x14ac:dyDescent="0.25">
      <c r="A459" s="236" t="s">
        <v>600</v>
      </c>
      <c r="B459" s="149" t="s">
        <v>1153</v>
      </c>
      <c r="C459" s="148" t="s">
        <v>314</v>
      </c>
      <c r="D459" s="244" t="s">
        <v>312</v>
      </c>
      <c r="E459" s="148">
        <v>104</v>
      </c>
      <c r="F459" s="148">
        <v>88</v>
      </c>
      <c r="G459" s="148">
        <v>96</v>
      </c>
      <c r="H459" s="257">
        <f>G459/F459</f>
        <v>1.0909090909090908</v>
      </c>
      <c r="I459" s="257">
        <f>G459/E459</f>
        <v>0.92307692307692313</v>
      </c>
      <c r="J459" s="80" t="s">
        <v>1671</v>
      </c>
      <c r="K459" s="148" t="s">
        <v>41</v>
      </c>
      <c r="L459" s="39" t="s">
        <v>1254</v>
      </c>
      <c r="M459" s="40">
        <v>1</v>
      </c>
      <c r="N459" s="41">
        <f t="shared" si="258"/>
        <v>1</v>
      </c>
      <c r="O459" s="41">
        <f t="shared" si="261"/>
        <v>0.92307692307692313</v>
      </c>
      <c r="AC459" s="64">
        <f t="shared" si="237"/>
        <v>1.0909090909090908</v>
      </c>
      <c r="AD459" s="64">
        <f t="shared" si="237"/>
        <v>0.92307692307692313</v>
      </c>
    </row>
    <row r="460" spans="1:37" ht="90" outlineLevel="2" x14ac:dyDescent="0.25">
      <c r="A460" s="236" t="s">
        <v>601</v>
      </c>
      <c r="B460" s="149" t="s">
        <v>620</v>
      </c>
      <c r="C460" s="148" t="s">
        <v>432</v>
      </c>
      <c r="D460" s="153" t="s">
        <v>331</v>
      </c>
      <c r="E460" s="148">
        <v>1916</v>
      </c>
      <c r="F460" s="148">
        <v>1087</v>
      </c>
      <c r="G460" s="148">
        <v>1275</v>
      </c>
      <c r="H460" s="257">
        <f>G460/F460</f>
        <v>1.1729530818767249</v>
      </c>
      <c r="I460" s="257">
        <f>G460/E460</f>
        <v>0.66544885177453028</v>
      </c>
      <c r="J460" s="148" t="s">
        <v>1672</v>
      </c>
      <c r="K460" s="148" t="s">
        <v>41</v>
      </c>
      <c r="L460" s="148" t="s">
        <v>1155</v>
      </c>
      <c r="M460" s="40">
        <v>0</v>
      </c>
      <c r="N460" s="41">
        <f t="shared" si="258"/>
        <v>1</v>
      </c>
      <c r="O460" s="41" t="s">
        <v>41</v>
      </c>
      <c r="AC460" s="64">
        <f t="shared" si="237"/>
        <v>1.1729530818767249</v>
      </c>
      <c r="AD460" s="64"/>
    </row>
    <row r="461" spans="1:37" ht="67.5" outlineLevel="2" x14ac:dyDescent="0.25">
      <c r="A461" s="236" t="s">
        <v>602</v>
      </c>
      <c r="B461" s="149" t="s">
        <v>614</v>
      </c>
      <c r="C461" s="148" t="s">
        <v>314</v>
      </c>
      <c r="D461" s="251" t="s">
        <v>298</v>
      </c>
      <c r="E461" s="148">
        <v>0.15</v>
      </c>
      <c r="F461" s="148">
        <v>1.17</v>
      </c>
      <c r="G461" s="148">
        <v>0.14000000000000001</v>
      </c>
      <c r="H461" s="257">
        <f>F461/G461</f>
        <v>8.3571428571428559</v>
      </c>
      <c r="I461" s="257">
        <f>E461/G461</f>
        <v>1.0714285714285714</v>
      </c>
      <c r="J461" s="148" t="s">
        <v>1673</v>
      </c>
      <c r="K461" s="148" t="s">
        <v>41</v>
      </c>
      <c r="L461" s="148" t="s">
        <v>815</v>
      </c>
      <c r="M461" s="40">
        <v>-1</v>
      </c>
      <c r="N461" s="41">
        <f t="shared" si="258"/>
        <v>1</v>
      </c>
      <c r="O461" s="41">
        <f t="shared" si="261"/>
        <v>1.0714285714285714</v>
      </c>
      <c r="AC461" s="64">
        <f t="shared" ref="AC461:AD494" si="262">H461</f>
        <v>8.3571428571428559</v>
      </c>
      <c r="AD461" s="64">
        <f t="shared" si="262"/>
        <v>1.0714285714285714</v>
      </c>
    </row>
    <row r="462" spans="1:37" ht="57.75" customHeight="1" outlineLevel="2" x14ac:dyDescent="0.25">
      <c r="A462" s="236" t="s">
        <v>1237</v>
      </c>
      <c r="B462" s="149" t="s">
        <v>619</v>
      </c>
      <c r="C462" s="140" t="s">
        <v>622</v>
      </c>
      <c r="D462" s="153" t="s">
        <v>331</v>
      </c>
      <c r="E462" s="148">
        <v>3590</v>
      </c>
      <c r="F462" s="148">
        <v>2500</v>
      </c>
      <c r="G462" s="148">
        <v>3848</v>
      </c>
      <c r="H462" s="257">
        <f>G462/F462</f>
        <v>1.5391999999999999</v>
      </c>
      <c r="I462" s="257">
        <f>G462/E462</f>
        <v>1.0718662952646238</v>
      </c>
      <c r="J462" s="80" t="s">
        <v>1674</v>
      </c>
      <c r="K462" s="148" t="s">
        <v>41</v>
      </c>
      <c r="L462" s="148" t="s">
        <v>815</v>
      </c>
      <c r="M462" s="40">
        <v>0</v>
      </c>
      <c r="N462" s="41">
        <f t="shared" si="258"/>
        <v>1</v>
      </c>
      <c r="O462" s="41" t="s">
        <v>41</v>
      </c>
      <c r="AC462" s="64">
        <f t="shared" si="262"/>
        <v>1.5391999999999999</v>
      </c>
      <c r="AD462" s="64" t="s">
        <v>41</v>
      </c>
    </row>
    <row r="463" spans="1:37" ht="90" outlineLevel="2" x14ac:dyDescent="0.25">
      <c r="A463" s="236" t="s">
        <v>1468</v>
      </c>
      <c r="B463" s="149" t="s">
        <v>655</v>
      </c>
      <c r="C463" s="148" t="s">
        <v>314</v>
      </c>
      <c r="D463" s="251" t="s">
        <v>298</v>
      </c>
      <c r="E463" s="148">
        <v>11</v>
      </c>
      <c r="F463" s="148">
        <v>15.1</v>
      </c>
      <c r="G463" s="148">
        <v>15.5</v>
      </c>
      <c r="H463" s="257">
        <f>F463/G463</f>
        <v>0.97419354838709671</v>
      </c>
      <c r="I463" s="257">
        <f>E463/G463</f>
        <v>0.70967741935483875</v>
      </c>
      <c r="J463" s="148" t="s">
        <v>1675</v>
      </c>
      <c r="K463" s="80" t="s">
        <v>1676</v>
      </c>
      <c r="L463" s="148" t="s">
        <v>1255</v>
      </c>
      <c r="M463" s="40">
        <v>1</v>
      </c>
      <c r="N463" s="41">
        <f t="shared" si="258"/>
        <v>0.97419354838709671</v>
      </c>
      <c r="O463" s="41">
        <f t="shared" si="261"/>
        <v>0.70967741935483875</v>
      </c>
      <c r="AC463" s="64">
        <f t="shared" si="262"/>
        <v>0.97419354838709671</v>
      </c>
      <c r="AD463" s="64">
        <f t="shared" si="262"/>
        <v>0.70967741935483875</v>
      </c>
    </row>
    <row r="464" spans="1:37" ht="112.5" outlineLevel="2" x14ac:dyDescent="0.25">
      <c r="A464" s="236" t="s">
        <v>1469</v>
      </c>
      <c r="B464" s="317" t="s">
        <v>656</v>
      </c>
      <c r="C464" s="148" t="s">
        <v>314</v>
      </c>
      <c r="D464" s="251" t="s">
        <v>298</v>
      </c>
      <c r="E464" s="148">
        <v>3</v>
      </c>
      <c r="F464" s="148">
        <v>9.8000000000000007</v>
      </c>
      <c r="G464" s="148">
        <v>3.6</v>
      </c>
      <c r="H464" s="257">
        <f>F464/G464</f>
        <v>2.7222222222222223</v>
      </c>
      <c r="I464" s="257">
        <f>E464/G464</f>
        <v>0.83333333333333326</v>
      </c>
      <c r="J464" s="80" t="s">
        <v>1677</v>
      </c>
      <c r="K464" s="148" t="s">
        <v>1678</v>
      </c>
      <c r="L464" s="148" t="s">
        <v>1255</v>
      </c>
      <c r="M464" s="40">
        <v>1</v>
      </c>
      <c r="N464" s="41">
        <f t="shared" si="258"/>
        <v>1</v>
      </c>
      <c r="O464" s="41">
        <f t="shared" si="261"/>
        <v>0.83333333333333326</v>
      </c>
      <c r="AC464" s="64">
        <f t="shared" si="262"/>
        <v>2.7222222222222223</v>
      </c>
      <c r="AD464" s="64">
        <f t="shared" si="262"/>
        <v>0.83333333333333326</v>
      </c>
    </row>
    <row r="465" spans="1:37" ht="60" customHeight="1" outlineLevel="2" x14ac:dyDescent="0.25">
      <c r="A465" s="236" t="s">
        <v>1470</v>
      </c>
      <c r="B465" s="149" t="s">
        <v>814</v>
      </c>
      <c r="C465" s="148" t="s">
        <v>314</v>
      </c>
      <c r="D465" s="244" t="s">
        <v>312</v>
      </c>
      <c r="E465" s="148">
        <v>100</v>
      </c>
      <c r="F465" s="148">
        <v>100</v>
      </c>
      <c r="G465" s="148">
        <v>100</v>
      </c>
      <c r="H465" s="257">
        <f t="shared" ref="H465:H467" si="263">G465/F465</f>
        <v>1</v>
      </c>
      <c r="I465" s="257">
        <f t="shared" ref="I465:I467" si="264">G465/E465</f>
        <v>1</v>
      </c>
      <c r="J465" s="148" t="s">
        <v>41</v>
      </c>
      <c r="K465" s="148" t="s">
        <v>41</v>
      </c>
      <c r="L465" s="39" t="s">
        <v>1254</v>
      </c>
      <c r="M465" s="40">
        <v>1</v>
      </c>
      <c r="N465" s="41">
        <f t="shared" si="258"/>
        <v>1</v>
      </c>
      <c r="O465" s="41">
        <f t="shared" si="261"/>
        <v>1</v>
      </c>
      <c r="AC465" s="64">
        <f t="shared" si="262"/>
        <v>1</v>
      </c>
      <c r="AD465" s="64">
        <f t="shared" si="262"/>
        <v>1</v>
      </c>
    </row>
    <row r="466" spans="1:37" ht="129.75" customHeight="1" outlineLevel="2" x14ac:dyDescent="0.25">
      <c r="A466" s="236" t="s">
        <v>1471</v>
      </c>
      <c r="B466" s="149" t="s">
        <v>618</v>
      </c>
      <c r="C466" s="148" t="s">
        <v>314</v>
      </c>
      <c r="D466" s="244" t="s">
        <v>312</v>
      </c>
      <c r="E466" s="148">
        <v>98.9</v>
      </c>
      <c r="F466" s="148">
        <v>100</v>
      </c>
      <c r="G466" s="148">
        <v>100</v>
      </c>
      <c r="H466" s="257">
        <f t="shared" si="263"/>
        <v>1</v>
      </c>
      <c r="I466" s="257">
        <f t="shared" si="264"/>
        <v>1.0111223458038423</v>
      </c>
      <c r="J466" s="148" t="s">
        <v>41</v>
      </c>
      <c r="K466" s="148" t="s">
        <v>41</v>
      </c>
      <c r="L466" s="39" t="s">
        <v>1254</v>
      </c>
      <c r="M466" s="40">
        <v>1</v>
      </c>
      <c r="N466" s="41">
        <f t="shared" si="258"/>
        <v>1</v>
      </c>
      <c r="O466" s="41">
        <f t="shared" si="261"/>
        <v>1.0111223458038423</v>
      </c>
      <c r="AC466" s="64">
        <f t="shared" si="262"/>
        <v>1</v>
      </c>
      <c r="AD466" s="64">
        <f t="shared" si="262"/>
        <v>1.0111223458038423</v>
      </c>
    </row>
    <row r="467" spans="1:37" ht="101.25" outlineLevel="2" x14ac:dyDescent="0.25">
      <c r="A467" s="236" t="s">
        <v>1472</v>
      </c>
      <c r="B467" s="149" t="s">
        <v>1154</v>
      </c>
      <c r="C467" s="148" t="s">
        <v>314</v>
      </c>
      <c r="D467" s="244" t="s">
        <v>312</v>
      </c>
      <c r="E467" s="148">
        <v>91.1</v>
      </c>
      <c r="F467" s="148">
        <v>91.2</v>
      </c>
      <c r="G467" s="148">
        <v>91.2</v>
      </c>
      <c r="H467" s="257">
        <f t="shared" si="263"/>
        <v>1</v>
      </c>
      <c r="I467" s="257">
        <f t="shared" si="264"/>
        <v>1.0010976948408343</v>
      </c>
      <c r="J467" s="148" t="s">
        <v>41</v>
      </c>
      <c r="K467" s="148" t="s">
        <v>41</v>
      </c>
      <c r="L467" s="39" t="s">
        <v>1254</v>
      </c>
      <c r="M467" s="40">
        <v>1</v>
      </c>
      <c r="N467" s="41">
        <f t="shared" si="258"/>
        <v>1</v>
      </c>
      <c r="O467" s="41">
        <f t="shared" si="261"/>
        <v>1.0010976948408343</v>
      </c>
      <c r="AC467" s="64">
        <f t="shared" si="262"/>
        <v>1</v>
      </c>
      <c r="AD467" s="64">
        <f t="shared" si="262"/>
        <v>1.0010976948408343</v>
      </c>
    </row>
    <row r="468" spans="1:37" s="45" customFormat="1" ht="20.25" customHeight="1" outlineLevel="1" x14ac:dyDescent="0.25">
      <c r="A468" s="65" t="s">
        <v>173</v>
      </c>
      <c r="B468" s="619" t="s">
        <v>621</v>
      </c>
      <c r="C468" s="619"/>
      <c r="D468" s="619"/>
      <c r="E468" s="619"/>
      <c r="F468" s="619"/>
      <c r="G468" s="619"/>
      <c r="H468" s="66">
        <f>AVERAGE(N469:N475)</f>
        <v>1</v>
      </c>
      <c r="I468" s="66">
        <f>AVERAGE(O469:O475)</f>
        <v>1.0346482829056556</v>
      </c>
      <c r="J468" s="67"/>
      <c r="K468" s="67"/>
      <c r="L468" s="68"/>
      <c r="M468" s="61"/>
      <c r="N468" s="41"/>
      <c r="O468" s="41"/>
      <c r="P468" s="47"/>
      <c r="Q468" s="47"/>
      <c r="R468" s="98">
        <f>COUNTA(C469:C475)</f>
        <v>7</v>
      </c>
      <c r="S468" s="97">
        <v>0</v>
      </c>
      <c r="T468" s="98">
        <f>COUNTIFS(AC469:AC475,"&gt;1,50")</f>
        <v>0</v>
      </c>
      <c r="U468" s="98">
        <f>COUNTIFS(AC469:AC475,"&gt;=0,995",AC469:AC475,"&lt;=1,5")</f>
        <v>7</v>
      </c>
      <c r="V468" s="98">
        <f>COUNTIFS(AC469:AC475,"&gt;=0,85",AC469:AC475,"&lt;0,995")</f>
        <v>0</v>
      </c>
      <c r="W468" s="98">
        <f>COUNTIFS(AC469:AC475,"&lt;0,85")</f>
        <v>0</v>
      </c>
      <c r="X468" s="50"/>
      <c r="Z468" s="90">
        <f>COUNTIFS(AD469:AD475,"&gt;=1,01")</f>
        <v>1</v>
      </c>
      <c r="AA468" s="90">
        <f>COUNTIFS(AD469:AD475,"&gt;=0,99",AD469:AD475,"&lt;1,01")</f>
        <v>4</v>
      </c>
      <c r="AB468" s="91">
        <f>COUNTIFS(AD469:AD475,"&lt;0,99")</f>
        <v>0</v>
      </c>
      <c r="AC468" s="64"/>
      <c r="AD468" s="64"/>
      <c r="AK468" s="45">
        <f>SUM(T468:X468)-R468</f>
        <v>0</v>
      </c>
    </row>
    <row r="469" spans="1:37" ht="51" customHeight="1" outlineLevel="2" x14ac:dyDescent="0.25">
      <c r="A469" s="236" t="s">
        <v>604</v>
      </c>
      <c r="B469" s="79" t="s">
        <v>816</v>
      </c>
      <c r="C469" s="148" t="s">
        <v>314</v>
      </c>
      <c r="D469" s="244" t="s">
        <v>312</v>
      </c>
      <c r="E469" s="148">
        <v>100</v>
      </c>
      <c r="F469" s="148">
        <v>100</v>
      </c>
      <c r="G469" s="148">
        <v>100</v>
      </c>
      <c r="H469" s="257">
        <f t="shared" ref="H469:H475" si="265">G469/F469</f>
        <v>1</v>
      </c>
      <c r="I469" s="257">
        <f t="shared" ref="I469:I475" si="266">G469/E469</f>
        <v>1</v>
      </c>
      <c r="J469" s="148" t="s">
        <v>41</v>
      </c>
      <c r="K469" s="148" t="s">
        <v>41</v>
      </c>
      <c r="L469" s="39" t="s">
        <v>634</v>
      </c>
      <c r="M469" s="40">
        <v>1</v>
      </c>
      <c r="N469" s="41">
        <f t="shared" si="258"/>
        <v>1</v>
      </c>
      <c r="O469" s="41">
        <f t="shared" si="261"/>
        <v>1</v>
      </c>
      <c r="AC469" s="64">
        <f t="shared" si="262"/>
        <v>1</v>
      </c>
      <c r="AD469" s="64">
        <f t="shared" si="262"/>
        <v>1</v>
      </c>
    </row>
    <row r="470" spans="1:37" ht="123.75" outlineLevel="2" x14ac:dyDescent="0.25">
      <c r="A470" s="236" t="s">
        <v>605</v>
      </c>
      <c r="B470" s="79" t="s">
        <v>817</v>
      </c>
      <c r="C470" s="148" t="s">
        <v>314</v>
      </c>
      <c r="D470" s="244" t="s">
        <v>312</v>
      </c>
      <c r="E470" s="148">
        <v>100</v>
      </c>
      <c r="F470" s="148">
        <v>100</v>
      </c>
      <c r="G470" s="148">
        <v>100</v>
      </c>
      <c r="H470" s="257">
        <f t="shared" si="265"/>
        <v>1</v>
      </c>
      <c r="I470" s="257">
        <f t="shared" si="266"/>
        <v>1</v>
      </c>
      <c r="J470" s="148" t="s">
        <v>41</v>
      </c>
      <c r="K470" s="148" t="s">
        <v>41</v>
      </c>
      <c r="L470" s="39" t="s">
        <v>634</v>
      </c>
      <c r="M470" s="40">
        <v>1</v>
      </c>
      <c r="N470" s="41">
        <f t="shared" si="258"/>
        <v>1</v>
      </c>
      <c r="O470" s="41">
        <f t="shared" si="261"/>
        <v>1</v>
      </c>
      <c r="AC470" s="64">
        <f t="shared" si="262"/>
        <v>1</v>
      </c>
      <c r="AD470" s="64">
        <f t="shared" si="262"/>
        <v>1</v>
      </c>
    </row>
    <row r="471" spans="1:37" ht="63.75" customHeight="1" outlineLevel="2" x14ac:dyDescent="0.25">
      <c r="A471" s="236" t="s">
        <v>606</v>
      </c>
      <c r="B471" s="79" t="s">
        <v>818</v>
      </c>
      <c r="C471" s="148" t="s">
        <v>314</v>
      </c>
      <c r="D471" s="244" t="s">
        <v>312</v>
      </c>
      <c r="E471" s="148">
        <v>100</v>
      </c>
      <c r="F471" s="148">
        <v>100</v>
      </c>
      <c r="G471" s="148">
        <v>100</v>
      </c>
      <c r="H471" s="257">
        <f t="shared" si="265"/>
        <v>1</v>
      </c>
      <c r="I471" s="257">
        <f t="shared" si="266"/>
        <v>1</v>
      </c>
      <c r="J471" s="148" t="s">
        <v>41</v>
      </c>
      <c r="K471" s="148" t="s">
        <v>41</v>
      </c>
      <c r="L471" s="39" t="s">
        <v>634</v>
      </c>
      <c r="M471" s="40">
        <v>1</v>
      </c>
      <c r="N471" s="41">
        <f t="shared" si="258"/>
        <v>1</v>
      </c>
      <c r="O471" s="41">
        <f t="shared" si="261"/>
        <v>1</v>
      </c>
      <c r="AC471" s="64">
        <f t="shared" si="262"/>
        <v>1</v>
      </c>
      <c r="AD471" s="64">
        <f t="shared" si="262"/>
        <v>1</v>
      </c>
    </row>
    <row r="472" spans="1:37" ht="52.5" customHeight="1" outlineLevel="2" x14ac:dyDescent="0.25">
      <c r="A472" s="236" t="s">
        <v>608</v>
      </c>
      <c r="B472" s="79" t="s">
        <v>819</v>
      </c>
      <c r="C472" s="148" t="s">
        <v>622</v>
      </c>
      <c r="D472" s="244" t="s">
        <v>312</v>
      </c>
      <c r="E472" s="148">
        <v>1154</v>
      </c>
      <c r="F472" s="148">
        <v>1100</v>
      </c>
      <c r="G472" s="148">
        <v>1347</v>
      </c>
      <c r="H472" s="257">
        <f t="shared" si="265"/>
        <v>1.2245454545454546</v>
      </c>
      <c r="I472" s="257">
        <f t="shared" si="266"/>
        <v>1.1672443674176776</v>
      </c>
      <c r="J472" s="148" t="s">
        <v>1679</v>
      </c>
      <c r="K472" s="148" t="s">
        <v>41</v>
      </c>
      <c r="L472" s="39" t="s">
        <v>634</v>
      </c>
      <c r="M472" s="40">
        <v>1</v>
      </c>
      <c r="N472" s="41">
        <f t="shared" si="258"/>
        <v>1</v>
      </c>
      <c r="O472" s="41" t="s">
        <v>41</v>
      </c>
      <c r="AC472" s="64">
        <f t="shared" si="262"/>
        <v>1.2245454545454546</v>
      </c>
      <c r="AD472" s="64"/>
    </row>
    <row r="473" spans="1:37" ht="60.75" customHeight="1" outlineLevel="2" x14ac:dyDescent="0.25">
      <c r="A473" s="236" t="s">
        <v>1473</v>
      </c>
      <c r="B473" s="79" t="s">
        <v>820</v>
      </c>
      <c r="C473" s="148" t="s">
        <v>314</v>
      </c>
      <c r="D473" s="244" t="s">
        <v>312</v>
      </c>
      <c r="E473" s="148">
        <v>78.33</v>
      </c>
      <c r="F473" s="148">
        <v>79.8</v>
      </c>
      <c r="G473" s="148">
        <v>91.9</v>
      </c>
      <c r="H473" s="257">
        <f t="shared" si="265"/>
        <v>1.1516290726817044</v>
      </c>
      <c r="I473" s="257">
        <f t="shared" si="266"/>
        <v>1.1732414145282779</v>
      </c>
      <c r="J473" s="148" t="s">
        <v>1680</v>
      </c>
      <c r="K473" s="148" t="s">
        <v>41</v>
      </c>
      <c r="L473" s="39" t="s">
        <v>634</v>
      </c>
      <c r="M473" s="40">
        <v>1</v>
      </c>
      <c r="N473" s="41">
        <f t="shared" si="258"/>
        <v>1</v>
      </c>
      <c r="O473" s="41">
        <f t="shared" si="261"/>
        <v>1.1732414145282779</v>
      </c>
      <c r="AC473" s="64">
        <f t="shared" si="262"/>
        <v>1.1516290726817044</v>
      </c>
      <c r="AD473" s="64">
        <f t="shared" si="262"/>
        <v>1.1732414145282779</v>
      </c>
    </row>
    <row r="474" spans="1:37" ht="96.75" customHeight="1" outlineLevel="2" x14ac:dyDescent="0.25">
      <c r="A474" s="236" t="s">
        <v>1474</v>
      </c>
      <c r="B474" s="79" t="s">
        <v>623</v>
      </c>
      <c r="C474" s="148" t="s">
        <v>314</v>
      </c>
      <c r="D474" s="244" t="s">
        <v>312</v>
      </c>
      <c r="E474" s="148">
        <v>100</v>
      </c>
      <c r="F474" s="148">
        <v>100</v>
      </c>
      <c r="G474" s="148">
        <v>100</v>
      </c>
      <c r="H474" s="257">
        <f t="shared" si="265"/>
        <v>1</v>
      </c>
      <c r="I474" s="257">
        <f t="shared" si="266"/>
        <v>1</v>
      </c>
      <c r="J474" s="148" t="s">
        <v>41</v>
      </c>
      <c r="K474" s="148" t="s">
        <v>41</v>
      </c>
      <c r="L474" s="39" t="s">
        <v>634</v>
      </c>
      <c r="M474" s="40">
        <v>1</v>
      </c>
      <c r="N474" s="41">
        <f t="shared" si="258"/>
        <v>1</v>
      </c>
      <c r="O474" s="41">
        <f t="shared" si="261"/>
        <v>1</v>
      </c>
      <c r="AC474" s="64">
        <f t="shared" si="262"/>
        <v>1</v>
      </c>
      <c r="AD474" s="64">
        <f t="shared" si="262"/>
        <v>1</v>
      </c>
    </row>
    <row r="475" spans="1:37" ht="62.25" customHeight="1" outlineLevel="2" x14ac:dyDescent="0.25">
      <c r="A475" s="236" t="s">
        <v>1475</v>
      </c>
      <c r="B475" s="79" t="s">
        <v>821</v>
      </c>
      <c r="C475" s="148" t="s">
        <v>622</v>
      </c>
      <c r="D475" s="153" t="s">
        <v>331</v>
      </c>
      <c r="E475" s="148">
        <v>15</v>
      </c>
      <c r="F475" s="148">
        <v>15</v>
      </c>
      <c r="G475" s="148">
        <v>16</v>
      </c>
      <c r="H475" s="257">
        <f t="shared" si="265"/>
        <v>1.0666666666666667</v>
      </c>
      <c r="I475" s="257">
        <f t="shared" si="266"/>
        <v>1.0666666666666667</v>
      </c>
      <c r="J475" s="148" t="s">
        <v>1681</v>
      </c>
      <c r="K475" s="434" t="s">
        <v>41</v>
      </c>
      <c r="L475" s="39" t="s">
        <v>634</v>
      </c>
      <c r="M475" s="40">
        <v>0</v>
      </c>
      <c r="N475" s="41">
        <f t="shared" si="258"/>
        <v>1</v>
      </c>
      <c r="O475" s="41" t="s">
        <v>41</v>
      </c>
      <c r="AC475" s="64">
        <f t="shared" si="262"/>
        <v>1.0666666666666667</v>
      </c>
      <c r="AD475" s="64" t="s">
        <v>41</v>
      </c>
    </row>
    <row r="476" spans="1:37" s="45" customFormat="1" ht="23.25" customHeight="1" outlineLevel="1" x14ac:dyDescent="0.25">
      <c r="A476" s="65" t="s">
        <v>174</v>
      </c>
      <c r="B476" s="619" t="s">
        <v>822</v>
      </c>
      <c r="C476" s="619"/>
      <c r="D476" s="619"/>
      <c r="E476" s="619"/>
      <c r="F476" s="619"/>
      <c r="G476" s="619"/>
      <c r="H476" s="66">
        <f>AVERAGE(N477:N486)</f>
        <v>0.97452934662236979</v>
      </c>
      <c r="I476" s="66">
        <f>AVERAGE(O477:O486)</f>
        <v>1.0779076723325292</v>
      </c>
      <c r="J476" s="67"/>
      <c r="K476" s="67"/>
      <c r="L476" s="68"/>
      <c r="M476" s="61"/>
      <c r="N476" s="41"/>
      <c r="O476" s="41"/>
      <c r="P476" s="47"/>
      <c r="Q476" s="47"/>
      <c r="R476" s="98">
        <f>COUNTA(C477:C486)</f>
        <v>10</v>
      </c>
      <c r="S476" s="97">
        <v>0</v>
      </c>
      <c r="T476" s="98">
        <f>COUNTIFS(AC477:AC486,"&gt;1,50")</f>
        <v>3</v>
      </c>
      <c r="U476" s="98">
        <f>COUNTIFS(AC477:AC486,"&gt;=0,995",AC477:AC486,"&lt;=1,5")</f>
        <v>6</v>
      </c>
      <c r="V476" s="98">
        <f>COUNTIFS(AC477:AC486,"&gt;=0,85",AC477:AC486,"&lt;0,995")</f>
        <v>0</v>
      </c>
      <c r="W476" s="98">
        <f>COUNTIFS(AC477:AC486,"&lt;0,85")</f>
        <v>1</v>
      </c>
      <c r="X476" s="50"/>
      <c r="Z476" s="90">
        <f>COUNTIFS(AD477:AD486,"&gt;=1,01")</f>
        <v>7</v>
      </c>
      <c r="AA476" s="90">
        <f>COUNTIFS(AD477:AD486,"&gt;=0,99",AD477:AD486,"&lt;1,01")</f>
        <v>1</v>
      </c>
      <c r="AB476" s="91">
        <f>COUNTIFS(AD477:AD486,"&lt;0,99")</f>
        <v>1</v>
      </c>
      <c r="AC476" s="64"/>
      <c r="AD476" s="64"/>
      <c r="AK476" s="45">
        <f>SUM(T476:X476)-R476</f>
        <v>0</v>
      </c>
    </row>
    <row r="477" spans="1:37" ht="69" customHeight="1" outlineLevel="2" x14ac:dyDescent="0.25">
      <c r="A477" s="236" t="s">
        <v>609</v>
      </c>
      <c r="B477" s="149" t="s">
        <v>823</v>
      </c>
      <c r="C477" s="148" t="s">
        <v>314</v>
      </c>
      <c r="D477" s="244" t="s">
        <v>312</v>
      </c>
      <c r="E477" s="148">
        <v>51</v>
      </c>
      <c r="F477" s="148">
        <v>52</v>
      </c>
      <c r="G477" s="148">
        <v>53</v>
      </c>
      <c r="H477" s="257">
        <f t="shared" ref="H477:H486" si="267">G477/F477</f>
        <v>1.0192307692307692</v>
      </c>
      <c r="I477" s="257">
        <f t="shared" ref="I477:I484" si="268">G477/E477</f>
        <v>1.0392156862745099</v>
      </c>
      <c r="J477" s="148" t="s">
        <v>1682</v>
      </c>
      <c r="K477" s="148" t="s">
        <v>41</v>
      </c>
      <c r="L477" s="148" t="s">
        <v>1155</v>
      </c>
      <c r="M477" s="40">
        <v>1</v>
      </c>
      <c r="N477" s="41">
        <f t="shared" si="258"/>
        <v>1</v>
      </c>
      <c r="O477" s="41">
        <f t="shared" si="261"/>
        <v>1.0392156862745099</v>
      </c>
      <c r="AC477" s="64">
        <f t="shared" si="262"/>
        <v>1.0192307692307692</v>
      </c>
      <c r="AD477" s="64">
        <f t="shared" si="262"/>
        <v>1.0392156862745099</v>
      </c>
    </row>
    <row r="478" spans="1:37" ht="45" outlineLevel="2" x14ac:dyDescent="0.25">
      <c r="A478" s="236" t="s">
        <v>1476</v>
      </c>
      <c r="B478" s="149" t="s">
        <v>824</v>
      </c>
      <c r="C478" s="148" t="s">
        <v>314</v>
      </c>
      <c r="D478" s="244" t="s">
        <v>312</v>
      </c>
      <c r="E478" s="148">
        <v>74</v>
      </c>
      <c r="F478" s="148">
        <v>74</v>
      </c>
      <c r="G478" s="148">
        <v>77</v>
      </c>
      <c r="H478" s="257">
        <f t="shared" si="267"/>
        <v>1.0405405405405406</v>
      </c>
      <c r="I478" s="257">
        <f t="shared" si="268"/>
        <v>1.0405405405405406</v>
      </c>
      <c r="J478" s="148" t="s">
        <v>1682</v>
      </c>
      <c r="K478" s="148" t="s">
        <v>41</v>
      </c>
      <c r="L478" s="148" t="s">
        <v>1155</v>
      </c>
      <c r="M478" s="40">
        <v>1</v>
      </c>
      <c r="N478" s="41">
        <f t="shared" si="258"/>
        <v>1</v>
      </c>
      <c r="O478" s="41">
        <f t="shared" si="261"/>
        <v>1.0405405405405406</v>
      </c>
      <c r="AC478" s="64">
        <f t="shared" si="262"/>
        <v>1.0405405405405406</v>
      </c>
      <c r="AD478" s="64">
        <f t="shared" si="262"/>
        <v>1.0405405405405406</v>
      </c>
    </row>
    <row r="479" spans="1:37" ht="67.5" outlineLevel="2" x14ac:dyDescent="0.25">
      <c r="A479" s="236" t="s">
        <v>610</v>
      </c>
      <c r="B479" s="149" t="s">
        <v>825</v>
      </c>
      <c r="C479" s="148" t="s">
        <v>314</v>
      </c>
      <c r="D479" s="244" t="s">
        <v>312</v>
      </c>
      <c r="E479" s="148">
        <v>57</v>
      </c>
      <c r="F479" s="148">
        <v>59</v>
      </c>
      <c r="G479" s="148">
        <v>59.1</v>
      </c>
      <c r="H479" s="257">
        <f t="shared" si="267"/>
        <v>1.0016949152542374</v>
      </c>
      <c r="I479" s="257">
        <f t="shared" si="268"/>
        <v>1.036842105263158</v>
      </c>
      <c r="J479" s="148" t="s">
        <v>1682</v>
      </c>
      <c r="K479" s="148" t="s">
        <v>41</v>
      </c>
      <c r="L479" s="148" t="s">
        <v>1155</v>
      </c>
      <c r="M479" s="40">
        <v>1</v>
      </c>
      <c r="N479" s="41">
        <f t="shared" si="258"/>
        <v>1</v>
      </c>
      <c r="O479" s="41">
        <f t="shared" si="261"/>
        <v>1.036842105263158</v>
      </c>
      <c r="AC479" s="64">
        <f t="shared" si="262"/>
        <v>1.0016949152542374</v>
      </c>
      <c r="AD479" s="64">
        <f t="shared" si="262"/>
        <v>1.036842105263158</v>
      </c>
    </row>
    <row r="480" spans="1:37" ht="56.25" outlineLevel="2" x14ac:dyDescent="0.25">
      <c r="A480" s="236" t="s">
        <v>1477</v>
      </c>
      <c r="B480" s="149" t="s">
        <v>826</v>
      </c>
      <c r="C480" s="148" t="s">
        <v>314</v>
      </c>
      <c r="D480" s="244" t="s">
        <v>312</v>
      </c>
      <c r="E480" s="148">
        <v>27.8</v>
      </c>
      <c r="F480" s="148">
        <v>27.8</v>
      </c>
      <c r="G480" s="148">
        <v>27.9</v>
      </c>
      <c r="H480" s="257">
        <f t="shared" si="267"/>
        <v>1.0035971223021583</v>
      </c>
      <c r="I480" s="257">
        <f t="shared" si="268"/>
        <v>1.0035971223021583</v>
      </c>
      <c r="J480" s="148" t="s">
        <v>1683</v>
      </c>
      <c r="K480" s="148" t="s">
        <v>41</v>
      </c>
      <c r="L480" s="148" t="s">
        <v>1156</v>
      </c>
      <c r="M480" s="40">
        <v>1</v>
      </c>
      <c r="N480" s="41">
        <f t="shared" si="258"/>
        <v>1</v>
      </c>
      <c r="O480" s="41">
        <f t="shared" si="261"/>
        <v>1.0035971223021583</v>
      </c>
      <c r="AC480" s="64">
        <f t="shared" si="262"/>
        <v>1.0035971223021583</v>
      </c>
      <c r="AD480" s="64">
        <f t="shared" si="262"/>
        <v>1.0035971223021583</v>
      </c>
    </row>
    <row r="481" spans="1:37" ht="90" outlineLevel="2" x14ac:dyDescent="0.25">
      <c r="A481" s="236" t="s">
        <v>1478</v>
      </c>
      <c r="B481" s="318" t="s">
        <v>658</v>
      </c>
      <c r="C481" s="148" t="s">
        <v>659</v>
      </c>
      <c r="D481" s="244" t="s">
        <v>312</v>
      </c>
      <c r="E481" s="148">
        <v>8.5999999999999993E-2</v>
      </c>
      <c r="F481" s="148">
        <v>7.3800000000000004E-2</v>
      </c>
      <c r="G481" s="148">
        <v>9.4E-2</v>
      </c>
      <c r="H481" s="257">
        <f t="shared" si="267"/>
        <v>1.2737127371273711</v>
      </c>
      <c r="I481" s="257">
        <f t="shared" si="268"/>
        <v>1.0930232558139537</v>
      </c>
      <c r="J481" s="148" t="s">
        <v>1684</v>
      </c>
      <c r="K481" s="148" t="s">
        <v>41</v>
      </c>
      <c r="L481" s="319" t="s">
        <v>1156</v>
      </c>
      <c r="M481" s="40">
        <v>1</v>
      </c>
      <c r="N481" s="41">
        <f t="shared" si="258"/>
        <v>1</v>
      </c>
      <c r="O481" s="41">
        <f t="shared" si="261"/>
        <v>1.0930232558139537</v>
      </c>
      <c r="AC481" s="64">
        <f t="shared" si="262"/>
        <v>1.2737127371273711</v>
      </c>
      <c r="AD481" s="64">
        <f t="shared" si="262"/>
        <v>1.0930232558139537</v>
      </c>
    </row>
    <row r="482" spans="1:37" ht="56.25" outlineLevel="2" x14ac:dyDescent="0.25">
      <c r="A482" s="236" t="s">
        <v>1479</v>
      </c>
      <c r="B482" s="149" t="s">
        <v>1157</v>
      </c>
      <c r="C482" s="148" t="s">
        <v>1158</v>
      </c>
      <c r="D482" s="244" t="s">
        <v>312</v>
      </c>
      <c r="E482" s="148">
        <v>91.94</v>
      </c>
      <c r="F482" s="148">
        <v>88.3</v>
      </c>
      <c r="G482" s="148">
        <v>270.07</v>
      </c>
      <c r="H482" s="257">
        <f t="shared" si="267"/>
        <v>3.058550396375991</v>
      </c>
      <c r="I482" s="257">
        <f t="shared" si="268"/>
        <v>2.9374592125299106</v>
      </c>
      <c r="J482" s="148" t="s">
        <v>1685</v>
      </c>
      <c r="K482" s="148" t="s">
        <v>41</v>
      </c>
      <c r="L482" s="148" t="s">
        <v>1155</v>
      </c>
      <c r="M482" s="40">
        <v>1</v>
      </c>
      <c r="N482" s="41">
        <f t="shared" si="258"/>
        <v>1</v>
      </c>
      <c r="O482" s="41">
        <f t="shared" si="261"/>
        <v>1.25</v>
      </c>
      <c r="AC482" s="64">
        <f t="shared" si="262"/>
        <v>3.058550396375991</v>
      </c>
      <c r="AD482" s="64">
        <f t="shared" si="262"/>
        <v>2.9374592125299106</v>
      </c>
    </row>
    <row r="483" spans="1:37" ht="45" outlineLevel="2" x14ac:dyDescent="0.25">
      <c r="A483" s="236" t="s">
        <v>1480</v>
      </c>
      <c r="B483" s="149" t="s">
        <v>1159</v>
      </c>
      <c r="C483" s="148" t="s">
        <v>1158</v>
      </c>
      <c r="D483" s="244" t="s">
        <v>312</v>
      </c>
      <c r="E483" s="148">
        <v>47.68</v>
      </c>
      <c r="F483" s="148">
        <v>45.3</v>
      </c>
      <c r="G483" s="148">
        <v>140.32</v>
      </c>
      <c r="H483" s="257">
        <f t="shared" si="267"/>
        <v>3.0975717439293597</v>
      </c>
      <c r="I483" s="257">
        <f t="shared" si="268"/>
        <v>2.9429530201342282</v>
      </c>
      <c r="J483" s="148" t="s">
        <v>1686</v>
      </c>
      <c r="K483" s="148" t="s">
        <v>41</v>
      </c>
      <c r="L483" s="148" t="s">
        <v>1155</v>
      </c>
      <c r="M483" s="40">
        <v>1</v>
      </c>
      <c r="N483" s="41">
        <f t="shared" si="258"/>
        <v>1</v>
      </c>
      <c r="O483" s="41">
        <f t="shared" si="261"/>
        <v>1.25</v>
      </c>
      <c r="AC483" s="64">
        <f t="shared" si="262"/>
        <v>3.0975717439293597</v>
      </c>
      <c r="AD483" s="64">
        <f t="shared" si="262"/>
        <v>2.9429530201342282</v>
      </c>
    </row>
    <row r="484" spans="1:37" ht="135" outlineLevel="2" x14ac:dyDescent="0.25">
      <c r="A484" s="236" t="s">
        <v>1481</v>
      </c>
      <c r="B484" s="149" t="s">
        <v>1160</v>
      </c>
      <c r="C484" s="148" t="s">
        <v>314</v>
      </c>
      <c r="D484" s="244" t="s">
        <v>312</v>
      </c>
      <c r="E484" s="148">
        <v>78</v>
      </c>
      <c r="F484" s="148">
        <v>71</v>
      </c>
      <c r="G484" s="148">
        <v>72</v>
      </c>
      <c r="H484" s="257">
        <f t="shared" si="267"/>
        <v>1.0140845070422535</v>
      </c>
      <c r="I484" s="257">
        <f t="shared" si="268"/>
        <v>0.92307692307692313</v>
      </c>
      <c r="J484" s="148" t="s">
        <v>1687</v>
      </c>
      <c r="K484" s="148" t="s">
        <v>41</v>
      </c>
      <c r="L484" s="148" t="s">
        <v>1155</v>
      </c>
      <c r="M484" s="40">
        <v>1</v>
      </c>
      <c r="N484" s="41">
        <f t="shared" si="258"/>
        <v>1</v>
      </c>
      <c r="O484" s="41">
        <f t="shared" si="261"/>
        <v>0.92307692307692313</v>
      </c>
      <c r="AC484" s="64">
        <f t="shared" si="262"/>
        <v>1.0140845070422535</v>
      </c>
      <c r="AD484" s="64">
        <f t="shared" si="262"/>
        <v>0.92307692307692313</v>
      </c>
    </row>
    <row r="485" spans="1:37" ht="90" outlineLevel="2" x14ac:dyDescent="0.25">
      <c r="A485" s="236" t="s">
        <v>1482</v>
      </c>
      <c r="B485" s="149" t="s">
        <v>1161</v>
      </c>
      <c r="C485" s="148" t="s">
        <v>314</v>
      </c>
      <c r="D485" s="244" t="s">
        <v>312</v>
      </c>
      <c r="E485" s="148">
        <v>63.2</v>
      </c>
      <c r="F485" s="148">
        <v>90.3</v>
      </c>
      <c r="G485" s="148">
        <v>67.3</v>
      </c>
      <c r="H485" s="257">
        <f t="shared" ref="H485" si="269">G485/F485</f>
        <v>0.74529346622369874</v>
      </c>
      <c r="I485" s="257">
        <f t="shared" ref="I485" si="270">G485/E485</f>
        <v>1.0648734177215189</v>
      </c>
      <c r="J485" s="148" t="s">
        <v>1688</v>
      </c>
      <c r="K485" s="148" t="s">
        <v>41</v>
      </c>
      <c r="L485" s="148" t="s">
        <v>1155</v>
      </c>
      <c r="M485" s="40">
        <v>1</v>
      </c>
      <c r="N485" s="41">
        <f t="shared" ref="N485" si="271">IF(H485&gt;1,1,H485)</f>
        <v>0.74529346622369874</v>
      </c>
      <c r="O485" s="41">
        <f t="shared" ref="O485" si="272">IF(I485&gt;1.25,1.25,I485)</f>
        <v>1.0648734177215189</v>
      </c>
      <c r="AC485" s="64">
        <f t="shared" ref="AC485" si="273">H485</f>
        <v>0.74529346622369874</v>
      </c>
      <c r="AD485" s="64">
        <f t="shared" ref="AD485" si="274">I485</f>
        <v>1.0648734177215189</v>
      </c>
    </row>
    <row r="486" spans="1:37" ht="101.25" outlineLevel="2" x14ac:dyDescent="0.25">
      <c r="A486" s="236" t="s">
        <v>1483</v>
      </c>
      <c r="B486" s="149" t="s">
        <v>1256</v>
      </c>
      <c r="C486" s="148" t="s">
        <v>432</v>
      </c>
      <c r="D486" s="244" t="s">
        <v>312</v>
      </c>
      <c r="E486" s="148">
        <v>2735</v>
      </c>
      <c r="F486" s="148">
        <v>1200</v>
      </c>
      <c r="G486" s="148">
        <v>2000</v>
      </c>
      <c r="H486" s="257">
        <f t="shared" si="267"/>
        <v>1.6666666666666667</v>
      </c>
      <c r="I486" s="257" t="s">
        <v>41</v>
      </c>
      <c r="J486" s="148" t="s">
        <v>1689</v>
      </c>
      <c r="K486" s="148" t="s">
        <v>41</v>
      </c>
      <c r="L486" s="148" t="s">
        <v>1155</v>
      </c>
      <c r="M486" s="40">
        <v>1</v>
      </c>
      <c r="N486" s="41">
        <f t="shared" si="258"/>
        <v>1</v>
      </c>
      <c r="O486" s="41" t="s">
        <v>41</v>
      </c>
      <c r="AC486" s="64">
        <f t="shared" si="262"/>
        <v>1.6666666666666667</v>
      </c>
      <c r="AD486" s="64" t="str">
        <f t="shared" si="262"/>
        <v>-</v>
      </c>
    </row>
    <row r="487" spans="1:37" s="45" customFormat="1" outlineLevel="1" x14ac:dyDescent="0.25">
      <c r="A487" s="65" t="s">
        <v>175</v>
      </c>
      <c r="B487" s="621" t="s">
        <v>827</v>
      </c>
      <c r="C487" s="622"/>
      <c r="D487" s="622"/>
      <c r="E487" s="622"/>
      <c r="F487" s="622"/>
      <c r="G487" s="623"/>
      <c r="H487" s="66">
        <f>AVERAGE(N488:N491)</f>
        <v>1</v>
      </c>
      <c r="I487" s="66">
        <f>AVERAGE(O488:O491)</f>
        <v>1</v>
      </c>
      <c r="J487" s="67"/>
      <c r="K487" s="67"/>
      <c r="L487" s="68"/>
      <c r="M487" s="61"/>
      <c r="N487" s="41"/>
      <c r="O487" s="41"/>
      <c r="P487" s="47"/>
      <c r="Q487" s="47"/>
      <c r="R487" s="98">
        <f>COUNTA(C488:C491)</f>
        <v>4</v>
      </c>
      <c r="S487" s="97">
        <v>0</v>
      </c>
      <c r="T487" s="98">
        <f>COUNTIFS(AC488:AC491,"&gt;1,50")</f>
        <v>0</v>
      </c>
      <c r="U487" s="98">
        <f>COUNTIFS(AC488:AC491,"&gt;=0,995",AC488:AC491,"&lt;=1,5")</f>
        <v>4</v>
      </c>
      <c r="V487" s="98">
        <f>COUNTIFS(AC488:AC491,"&gt;=0,85",AC488:AC491,"&lt;0,995")</f>
        <v>0</v>
      </c>
      <c r="W487" s="98">
        <f>COUNTIFS(AC488:AC491,"&lt;0,85")</f>
        <v>0</v>
      </c>
      <c r="X487" s="50"/>
      <c r="Z487" s="90">
        <f>COUNTIFS(AD488:AD491,"&gt;=1,01")</f>
        <v>0</v>
      </c>
      <c r="AA487" s="90">
        <f>COUNTIFS(AD488:AD491,"&gt;=0,99",AD488:AD491,"&lt;1,01")</f>
        <v>4</v>
      </c>
      <c r="AB487" s="91">
        <f>COUNTIFS(AD488:AD491,"&lt;0,99")</f>
        <v>0</v>
      </c>
      <c r="AC487" s="64"/>
      <c r="AD487" s="64"/>
      <c r="AK487" s="45">
        <f>SUM(T487:X487)-R487</f>
        <v>0</v>
      </c>
    </row>
    <row r="488" spans="1:37" ht="58.5" customHeight="1" outlineLevel="2" x14ac:dyDescent="0.25">
      <c r="A488" s="236" t="s">
        <v>611</v>
      </c>
      <c r="B488" s="149" t="s">
        <v>828</v>
      </c>
      <c r="C488" s="148" t="s">
        <v>314</v>
      </c>
      <c r="D488" s="264" t="s">
        <v>312</v>
      </c>
      <c r="E488" s="148">
        <v>100</v>
      </c>
      <c r="F488" s="148">
        <v>100</v>
      </c>
      <c r="G488" s="148">
        <v>100</v>
      </c>
      <c r="H488" s="257">
        <f t="shared" ref="H488:H491" si="275">G488/F488</f>
        <v>1</v>
      </c>
      <c r="I488" s="257">
        <f t="shared" ref="I488:I491" si="276">G488/E488</f>
        <v>1</v>
      </c>
      <c r="J488" s="153" t="s">
        <v>41</v>
      </c>
      <c r="K488" s="153" t="s">
        <v>41</v>
      </c>
      <c r="L488" s="39" t="s">
        <v>176</v>
      </c>
      <c r="M488" s="40">
        <v>1</v>
      </c>
      <c r="N488" s="41">
        <f t="shared" si="258"/>
        <v>1</v>
      </c>
      <c r="O488" s="41">
        <f t="shared" si="261"/>
        <v>1</v>
      </c>
      <c r="AC488" s="64">
        <f t="shared" si="262"/>
        <v>1</v>
      </c>
      <c r="AD488" s="64">
        <f t="shared" si="262"/>
        <v>1</v>
      </c>
    </row>
    <row r="489" spans="1:37" ht="45" outlineLevel="2" x14ac:dyDescent="0.25">
      <c r="A489" s="236" t="s">
        <v>612</v>
      </c>
      <c r="B489" s="149" t="s">
        <v>624</v>
      </c>
      <c r="C489" s="148" t="s">
        <v>314</v>
      </c>
      <c r="D489" s="264" t="s">
        <v>312</v>
      </c>
      <c r="E489" s="148">
        <v>100</v>
      </c>
      <c r="F489" s="148">
        <v>100</v>
      </c>
      <c r="G489" s="148">
        <v>100</v>
      </c>
      <c r="H489" s="257">
        <f t="shared" si="275"/>
        <v>1</v>
      </c>
      <c r="I489" s="257">
        <f t="shared" si="276"/>
        <v>1</v>
      </c>
      <c r="J489" s="153" t="s">
        <v>41</v>
      </c>
      <c r="K489" s="153" t="s">
        <v>41</v>
      </c>
      <c r="L489" s="39" t="s">
        <v>176</v>
      </c>
      <c r="M489" s="40">
        <v>1</v>
      </c>
      <c r="N489" s="41">
        <f t="shared" si="258"/>
        <v>1</v>
      </c>
      <c r="O489" s="41">
        <f t="shared" si="261"/>
        <v>1</v>
      </c>
      <c r="AC489" s="64">
        <f t="shared" si="262"/>
        <v>1</v>
      </c>
      <c r="AD489" s="64">
        <f t="shared" si="262"/>
        <v>1</v>
      </c>
    </row>
    <row r="490" spans="1:37" ht="78.75" outlineLevel="2" x14ac:dyDescent="0.25">
      <c r="A490" s="236" t="s">
        <v>613</v>
      </c>
      <c r="B490" s="149" t="s">
        <v>625</v>
      </c>
      <c r="C490" s="148" t="s">
        <v>314</v>
      </c>
      <c r="D490" s="264" t="s">
        <v>312</v>
      </c>
      <c r="E490" s="148">
        <v>100</v>
      </c>
      <c r="F490" s="148">
        <v>95.8</v>
      </c>
      <c r="G490" s="148">
        <v>100</v>
      </c>
      <c r="H490" s="257">
        <f t="shared" si="275"/>
        <v>1.0438413361169103</v>
      </c>
      <c r="I490" s="257">
        <f t="shared" si="276"/>
        <v>1</v>
      </c>
      <c r="J490" s="148" t="s">
        <v>1690</v>
      </c>
      <c r="K490" s="153" t="s">
        <v>41</v>
      </c>
      <c r="L490" s="39" t="s">
        <v>176</v>
      </c>
      <c r="M490" s="40">
        <v>1</v>
      </c>
      <c r="N490" s="41">
        <f t="shared" si="258"/>
        <v>1</v>
      </c>
      <c r="O490" s="41">
        <f t="shared" si="261"/>
        <v>1</v>
      </c>
      <c r="AC490" s="64">
        <f t="shared" si="262"/>
        <v>1.0438413361169103</v>
      </c>
      <c r="AD490" s="64">
        <f t="shared" si="262"/>
        <v>1</v>
      </c>
    </row>
    <row r="491" spans="1:37" ht="45" outlineLevel="2" x14ac:dyDescent="0.25">
      <c r="A491" s="236" t="s">
        <v>1484</v>
      </c>
      <c r="B491" s="149" t="s">
        <v>626</v>
      </c>
      <c r="C491" s="148" t="s">
        <v>314</v>
      </c>
      <c r="D491" s="264" t="s">
        <v>312</v>
      </c>
      <c r="E491" s="148">
        <v>100</v>
      </c>
      <c r="F491" s="148">
        <v>100</v>
      </c>
      <c r="G491" s="148">
        <v>100</v>
      </c>
      <c r="H491" s="257">
        <f t="shared" si="275"/>
        <v>1</v>
      </c>
      <c r="I491" s="257">
        <f t="shared" si="276"/>
        <v>1</v>
      </c>
      <c r="J491" s="153" t="s">
        <v>41</v>
      </c>
      <c r="K491" s="153" t="s">
        <v>41</v>
      </c>
      <c r="L491" s="39" t="s">
        <v>176</v>
      </c>
      <c r="M491" s="40">
        <v>1</v>
      </c>
      <c r="N491" s="41">
        <f t="shared" si="258"/>
        <v>1</v>
      </c>
      <c r="O491" s="41">
        <f t="shared" si="261"/>
        <v>1</v>
      </c>
      <c r="AC491" s="64">
        <f t="shared" si="262"/>
        <v>1</v>
      </c>
      <c r="AD491" s="64">
        <f t="shared" si="262"/>
        <v>1</v>
      </c>
    </row>
    <row r="492" spans="1:37" s="45" customFormat="1" ht="47.25" customHeight="1" outlineLevel="1" x14ac:dyDescent="0.25">
      <c r="A492" s="65" t="s">
        <v>1485</v>
      </c>
      <c r="B492" s="621" t="s">
        <v>829</v>
      </c>
      <c r="C492" s="622"/>
      <c r="D492" s="622"/>
      <c r="E492" s="622"/>
      <c r="F492" s="622"/>
      <c r="G492" s="623"/>
      <c r="H492" s="66">
        <f>AVERAGE(N493:N494)</f>
        <v>1</v>
      </c>
      <c r="I492" s="66">
        <f>AVERAGE(O493:O494)</f>
        <v>1.0561255280627639</v>
      </c>
      <c r="J492" s="67"/>
      <c r="K492" s="67"/>
      <c r="L492" s="68"/>
      <c r="M492" s="61"/>
      <c r="N492" s="41"/>
      <c r="O492" s="41"/>
      <c r="P492" s="47"/>
      <c r="Q492" s="47"/>
      <c r="R492" s="98">
        <f>COUNTA(C493:C494)</f>
        <v>2</v>
      </c>
      <c r="S492" s="97">
        <v>0</v>
      </c>
      <c r="T492" s="98">
        <f>COUNTIFS(AC493:AC494,"&gt;1,50")</f>
        <v>0</v>
      </c>
      <c r="U492" s="98">
        <f>COUNTIFS(AC493:AC494,"&gt;=0,995",AC493:AC494,"&lt;=1,5")</f>
        <v>2</v>
      </c>
      <c r="V492" s="98">
        <f>COUNTIFS(AC493:AC494,"&gt;=0,85",AC493:AC494,"&lt;0,995")</f>
        <v>0</v>
      </c>
      <c r="W492" s="98">
        <f>COUNTIFS(AC493:AC494,"&lt;0,85")</f>
        <v>0</v>
      </c>
      <c r="X492" s="50"/>
      <c r="Z492" s="90">
        <f>COUNTIFS(AD493:AD494,"&gt;=1,01")</f>
        <v>1</v>
      </c>
      <c r="AA492" s="90">
        <f>COUNTIFS(AD493:AD494,"&gt;=0,99",AD493:AD494,"&lt;1,01")</f>
        <v>0</v>
      </c>
      <c r="AB492" s="91">
        <f>COUNTIFS(AD493:AD494,"&lt;0,99")</f>
        <v>0</v>
      </c>
      <c r="AC492" s="64"/>
      <c r="AD492" s="64"/>
      <c r="AK492" s="45">
        <f>SUM(T492:X492)-R492</f>
        <v>0</v>
      </c>
    </row>
    <row r="493" spans="1:37" ht="45" outlineLevel="2" x14ac:dyDescent="0.25">
      <c r="A493" s="236" t="s">
        <v>1486</v>
      </c>
      <c r="B493" s="149" t="s">
        <v>830</v>
      </c>
      <c r="C493" s="148" t="s">
        <v>831</v>
      </c>
      <c r="D493" s="153" t="s">
        <v>331</v>
      </c>
      <c r="E493" s="148">
        <v>1</v>
      </c>
      <c r="F493" s="148">
        <v>1</v>
      </c>
      <c r="G493" s="148">
        <v>1</v>
      </c>
      <c r="H493" s="257">
        <f t="shared" ref="H493" si="277">G493/F493</f>
        <v>1</v>
      </c>
      <c r="I493" s="257">
        <f t="shared" ref="I493:I494" si="278">G493/E493</f>
        <v>1</v>
      </c>
      <c r="J493" s="148" t="s">
        <v>41</v>
      </c>
      <c r="K493" s="148" t="s">
        <v>41</v>
      </c>
      <c r="L493" s="148" t="s">
        <v>833</v>
      </c>
      <c r="M493" s="40">
        <v>0</v>
      </c>
      <c r="N493" s="41">
        <f t="shared" si="258"/>
        <v>1</v>
      </c>
      <c r="O493" s="41" t="s">
        <v>41</v>
      </c>
      <c r="AC493" s="64">
        <f t="shared" si="262"/>
        <v>1</v>
      </c>
      <c r="AD493" s="64" t="s">
        <v>41</v>
      </c>
    </row>
    <row r="494" spans="1:37" ht="67.5" outlineLevel="2" x14ac:dyDescent="0.25">
      <c r="A494" s="236" t="s">
        <v>1487</v>
      </c>
      <c r="B494" s="149" t="s">
        <v>832</v>
      </c>
      <c r="C494" s="148" t="s">
        <v>314</v>
      </c>
      <c r="D494" s="244" t="s">
        <v>312</v>
      </c>
      <c r="E494" s="148" t="s">
        <v>1257</v>
      </c>
      <c r="F494" s="148">
        <v>50</v>
      </c>
      <c r="G494" s="148" t="s">
        <v>1691</v>
      </c>
      <c r="H494" s="257">
        <f t="shared" ref="H494" si="279">G494/F494</f>
        <v>1.4</v>
      </c>
      <c r="I494" s="257">
        <f t="shared" si="278"/>
        <v>1.0561255280627639</v>
      </c>
      <c r="J494" s="148" t="s">
        <v>1692</v>
      </c>
      <c r="K494" s="148" t="s">
        <v>41</v>
      </c>
      <c r="L494" s="148" t="s">
        <v>834</v>
      </c>
      <c r="M494" s="40">
        <v>1</v>
      </c>
      <c r="N494" s="41">
        <f t="shared" si="258"/>
        <v>1</v>
      </c>
      <c r="O494" s="41">
        <f t="shared" si="261"/>
        <v>1.0561255280627639</v>
      </c>
      <c r="AC494" s="64">
        <f t="shared" si="262"/>
        <v>1.4</v>
      </c>
      <c r="AD494" s="64">
        <f t="shared" si="262"/>
        <v>1.0561255280627639</v>
      </c>
    </row>
    <row r="495" spans="1:37" x14ac:dyDescent="0.25">
      <c r="AC495" s="64"/>
      <c r="AD495" s="64"/>
    </row>
    <row r="497" spans="1:28" x14ac:dyDescent="0.25">
      <c r="A497" s="81">
        <v>1</v>
      </c>
      <c r="B497" s="84" t="s">
        <v>627</v>
      </c>
      <c r="R497" s="97">
        <f t="shared" ref="R497:W497" si="280">R6+R71+R112+R142+R162+R189+R214+R258+R277+R319+R350+R381+R411+R425+R449</f>
        <v>415</v>
      </c>
      <c r="S497" s="97">
        <f t="shared" si="280"/>
        <v>33</v>
      </c>
      <c r="T497" s="97">
        <f t="shared" si="280"/>
        <v>39</v>
      </c>
      <c r="U497" s="97">
        <f t="shared" si="280"/>
        <v>279</v>
      </c>
      <c r="V497" s="97">
        <f t="shared" si="280"/>
        <v>32</v>
      </c>
      <c r="W497" s="97">
        <f t="shared" si="280"/>
        <v>32</v>
      </c>
      <c r="X497" s="97"/>
      <c r="Y497" s="97"/>
      <c r="Z497" s="97">
        <f>Z6+Z71+Z112+Z142+Z162+Z189+Z214+Z258+Z277+Z319+Z350+Z381+Z411+Z425+Z449</f>
        <v>113</v>
      </c>
      <c r="AA497" s="97">
        <f>AA6+AA71+AA112+AA142+AA162+AA189+AA214+AA258+AA277+AA319+AA350+AA381+AA411+AA425+AA449</f>
        <v>71</v>
      </c>
      <c r="AB497" s="97">
        <f>AB6+AB71+AB112+AB142+AB162+AB189+AB214+AB258+AB277+AB319+AB350+AB381+AB411+AB425+AB449</f>
        <v>62</v>
      </c>
    </row>
    <row r="499" spans="1:28" ht="37.5" customHeight="1" x14ac:dyDescent="0.25">
      <c r="A499" s="83" t="s">
        <v>1604</v>
      </c>
      <c r="B499" s="645" t="s">
        <v>1605</v>
      </c>
      <c r="C499" s="645"/>
      <c r="D499" s="645"/>
      <c r="E499" s="645"/>
      <c r="F499" s="645"/>
      <c r="G499" s="645"/>
      <c r="H499" s="645"/>
      <c r="I499" s="645"/>
      <c r="J499" s="645"/>
      <c r="K499" s="645"/>
      <c r="L499" s="645"/>
    </row>
    <row r="500" spans="1:28" x14ac:dyDescent="0.25">
      <c r="A500" s="644" t="s">
        <v>628</v>
      </c>
      <c r="B500" s="644"/>
      <c r="C500" s="644"/>
      <c r="D500" s="644"/>
      <c r="E500" s="644"/>
      <c r="F500" s="644"/>
    </row>
    <row r="501" spans="1:28" x14ac:dyDescent="0.25">
      <c r="A501" s="81">
        <v>1.1892857142857143</v>
      </c>
      <c r="B501" s="82" t="s">
        <v>926</v>
      </c>
    </row>
    <row r="502" spans="1:28" x14ac:dyDescent="0.25">
      <c r="A502" s="81">
        <v>1</v>
      </c>
      <c r="B502" s="82" t="s">
        <v>927</v>
      </c>
    </row>
    <row r="503" spans="1:28" x14ac:dyDescent="0.25">
      <c r="A503" s="81">
        <v>0.98062847876583248</v>
      </c>
      <c r="B503" s="82" t="s">
        <v>928</v>
      </c>
    </row>
    <row r="506" spans="1:28" ht="10.5" customHeight="1" x14ac:dyDescent="0.25"/>
    <row r="507" spans="1:28" ht="14.25" customHeight="1" x14ac:dyDescent="0.25"/>
    <row r="508" spans="1:28" ht="14.25" customHeight="1" x14ac:dyDescent="0.25"/>
    <row r="509" spans="1:28" ht="13.5" customHeight="1" x14ac:dyDescent="0.25"/>
    <row r="530" ht="18" customHeight="1" x14ac:dyDescent="0.25"/>
    <row r="531" ht="14.25" customHeight="1" x14ac:dyDescent="0.25"/>
    <row r="532" ht="15.75" customHeight="1" x14ac:dyDescent="0.25"/>
  </sheetData>
  <autoFilter ref="A4:O491"/>
  <mergeCells count="90">
    <mergeCell ref="B68:G68"/>
    <mergeCell ref="B411:G411"/>
    <mergeCell ref="B415:G415"/>
    <mergeCell ref="B421:G421"/>
    <mergeCell ref="B425:G425"/>
    <mergeCell ref="B347:G347"/>
    <mergeCell ref="B350:G350"/>
    <mergeCell ref="B356:G356"/>
    <mergeCell ref="B366:G366"/>
    <mergeCell ref="B398:G398"/>
    <mergeCell ref="B403:G403"/>
    <mergeCell ref="B407:G407"/>
    <mergeCell ref="B329:G329"/>
    <mergeCell ref="B374:G374"/>
    <mergeCell ref="B381:G381"/>
    <mergeCell ref="B386:G386"/>
    <mergeCell ref="A500:F500"/>
    <mergeCell ref="B441:G441"/>
    <mergeCell ref="B444:G444"/>
    <mergeCell ref="B449:G449"/>
    <mergeCell ref="B458:G458"/>
    <mergeCell ref="B468:G468"/>
    <mergeCell ref="B476:G476"/>
    <mergeCell ref="B492:G492"/>
    <mergeCell ref="B499:L499"/>
    <mergeCell ref="B338:G338"/>
    <mergeCell ref="B487:G487"/>
    <mergeCell ref="B430:G430"/>
    <mergeCell ref="B436:G436"/>
    <mergeCell ref="B299:G299"/>
    <mergeCell ref="B306:G306"/>
    <mergeCell ref="B315:G315"/>
    <mergeCell ref="B319:G319"/>
    <mergeCell ref="B323:G323"/>
    <mergeCell ref="B267:G267"/>
    <mergeCell ref="B273:G273"/>
    <mergeCell ref="B277:G277"/>
    <mergeCell ref="B285:G285"/>
    <mergeCell ref="B292:G292"/>
    <mergeCell ref="B223:G223"/>
    <mergeCell ref="B180:G180"/>
    <mergeCell ref="B262:G262"/>
    <mergeCell ref="B258:G258"/>
    <mergeCell ref="B194:G194"/>
    <mergeCell ref="B242:G242"/>
    <mergeCell ref="B245:G245"/>
    <mergeCell ref="B235:G235"/>
    <mergeCell ref="B203:G203"/>
    <mergeCell ref="B212:G212"/>
    <mergeCell ref="B214:G214"/>
    <mergeCell ref="B199:G199"/>
    <mergeCell ref="B255:G255"/>
    <mergeCell ref="M4:M5"/>
    <mergeCell ref="N4:N5"/>
    <mergeCell ref="O4:O5"/>
    <mergeCell ref="B6:G6"/>
    <mergeCell ref="B118:G118"/>
    <mergeCell ref="B32:G32"/>
    <mergeCell ref="B43:G43"/>
    <mergeCell ref="B49:G49"/>
    <mergeCell ref="B56:G56"/>
    <mergeCell ref="B63:G63"/>
    <mergeCell ref="B71:G71"/>
    <mergeCell ref="B81:G81"/>
    <mergeCell ref="B91:G91"/>
    <mergeCell ref="B100:G100"/>
    <mergeCell ref="B112:G112"/>
    <mergeCell ref="B16:G16"/>
    <mergeCell ref="A2:L2"/>
    <mergeCell ref="A4:A5"/>
    <mergeCell ref="B4:B5"/>
    <mergeCell ref="C4:C5"/>
    <mergeCell ref="D4:D5"/>
    <mergeCell ref="F4:G4"/>
    <mergeCell ref="H4:H5"/>
    <mergeCell ref="I4:I5"/>
    <mergeCell ref="J4:J5"/>
    <mergeCell ref="K4:K5"/>
    <mergeCell ref="L4:L5"/>
    <mergeCell ref="B177:G177"/>
    <mergeCell ref="B189:G189"/>
    <mergeCell ref="B109:G109"/>
    <mergeCell ref="B157:G157"/>
    <mergeCell ref="B162:G162"/>
    <mergeCell ref="B170:G170"/>
    <mergeCell ref="B124:G124"/>
    <mergeCell ref="B136:G136"/>
    <mergeCell ref="B142:G142"/>
    <mergeCell ref="B145:G145"/>
    <mergeCell ref="B152:G152"/>
  </mergeCells>
  <conditionalFormatting sqref="A501:A503">
    <cfRule type="iconSet" priority="626">
      <iconSet iconSet="5Arrows" showValue="0">
        <cfvo type="percent" val="0"/>
        <cfvo type="num" val="0.99"/>
        <cfvo type="num" val="1"/>
        <cfvo type="num" val="1" gte="0"/>
        <cfvo type="num" val="1.01"/>
      </iconSet>
    </cfRule>
  </conditionalFormatting>
  <conditionalFormatting sqref="A497:A499">
    <cfRule type="iconSet" priority="625">
      <iconSet iconSet="3Symbols" showValue="0">
        <cfvo type="percent" val="0"/>
        <cfvo type="num" val="0.85"/>
        <cfvo type="num" val="0.995"/>
      </iconSet>
    </cfRule>
  </conditionalFormatting>
  <conditionalFormatting sqref="I277">
    <cfRule type="iconSet" priority="622">
      <iconSet iconSet="5Arrows">
        <cfvo type="percent" val="0"/>
        <cfvo type="num" val="0.99"/>
        <cfvo type="num" val="1"/>
        <cfvo type="num" val="1" gte="0"/>
        <cfvo type="num" val="1.01"/>
      </iconSet>
    </cfRule>
  </conditionalFormatting>
  <conditionalFormatting sqref="H277:I277">
    <cfRule type="iconSet" priority="621">
      <iconSet iconSet="3Symbols">
        <cfvo type="percent" val="0"/>
        <cfvo type="num" val="0.85"/>
        <cfvo type="num" val="0.995"/>
      </iconSet>
    </cfRule>
  </conditionalFormatting>
  <conditionalFormatting sqref="H273:I273">
    <cfRule type="iconSet" priority="615">
      <iconSet iconSet="3Symbols">
        <cfvo type="percent" val="0"/>
        <cfvo type="num" val="0.85"/>
        <cfvo type="num" val="0.995"/>
      </iconSet>
    </cfRule>
  </conditionalFormatting>
  <conditionalFormatting sqref="I285">
    <cfRule type="iconSet" priority="610">
      <iconSet iconSet="5Arrows">
        <cfvo type="percent" val="0"/>
        <cfvo type="num" val="0.99"/>
        <cfvo type="num" val="1"/>
        <cfvo type="num" val="1" gte="0"/>
        <cfvo type="num" val="1.01"/>
      </iconSet>
    </cfRule>
  </conditionalFormatting>
  <conditionalFormatting sqref="H285">
    <cfRule type="iconSet" priority="609">
      <iconSet iconSet="3Symbols">
        <cfvo type="percent" val="0"/>
        <cfvo type="num" val="0.85"/>
        <cfvo type="num" val="0.995"/>
      </iconSet>
    </cfRule>
  </conditionalFormatting>
  <conditionalFormatting sqref="I292">
    <cfRule type="iconSet" priority="606">
      <iconSet iconSet="5Arrows">
        <cfvo type="percent" val="0"/>
        <cfvo type="num" val="0.99"/>
        <cfvo type="num" val="1"/>
        <cfvo type="num" val="1" gte="0"/>
        <cfvo type="num" val="1.01"/>
      </iconSet>
    </cfRule>
  </conditionalFormatting>
  <conditionalFormatting sqref="H292">
    <cfRule type="iconSet" priority="605">
      <iconSet iconSet="3Symbols">
        <cfvo type="percent" val="0"/>
        <cfvo type="num" val="0.85"/>
        <cfvo type="num" val="0.995"/>
      </iconSet>
    </cfRule>
  </conditionalFormatting>
  <conditionalFormatting sqref="I299">
    <cfRule type="iconSet" priority="604">
      <iconSet iconSet="5Arrows">
        <cfvo type="percent" val="0"/>
        <cfvo type="num" val="0.99"/>
        <cfvo type="num" val="1"/>
        <cfvo type="num" val="1" gte="0"/>
        <cfvo type="num" val="1.01"/>
      </iconSet>
    </cfRule>
  </conditionalFormatting>
  <conditionalFormatting sqref="H299:I299">
    <cfRule type="iconSet" priority="603">
      <iconSet iconSet="3Symbols">
        <cfvo type="percent" val="0"/>
        <cfvo type="num" val="0.85"/>
        <cfvo type="num" val="0.995"/>
      </iconSet>
    </cfRule>
  </conditionalFormatting>
  <conditionalFormatting sqref="I306">
    <cfRule type="iconSet" priority="594">
      <iconSet iconSet="5Arrows">
        <cfvo type="percent" val="0"/>
        <cfvo type="num" val="0.99"/>
        <cfvo type="num" val="1"/>
        <cfvo type="num" val="1" gte="0"/>
        <cfvo type="num" val="1.01"/>
      </iconSet>
    </cfRule>
  </conditionalFormatting>
  <conditionalFormatting sqref="H306">
    <cfRule type="iconSet" priority="593">
      <iconSet iconSet="3Symbols">
        <cfvo type="percent" val="0"/>
        <cfvo type="num" val="0.85"/>
        <cfvo type="num" val="0.995"/>
      </iconSet>
    </cfRule>
  </conditionalFormatting>
  <conditionalFormatting sqref="I315">
    <cfRule type="iconSet" priority="590">
      <iconSet iconSet="5Arrows">
        <cfvo type="percent" val="0"/>
        <cfvo type="num" val="0.99"/>
        <cfvo type="num" val="1"/>
        <cfvo type="num" val="1" gte="0"/>
        <cfvo type="num" val="1.01"/>
      </iconSet>
    </cfRule>
  </conditionalFormatting>
  <conditionalFormatting sqref="H315">
    <cfRule type="iconSet" priority="589">
      <iconSet iconSet="3Symbols">
        <cfvo type="percent" val="0"/>
        <cfvo type="num" val="0.85"/>
        <cfvo type="num" val="0.995"/>
      </iconSet>
    </cfRule>
  </conditionalFormatting>
  <conditionalFormatting sqref="I356">
    <cfRule type="iconSet" priority="577">
      <iconSet iconSet="5Arrows">
        <cfvo type="percent" val="0"/>
        <cfvo type="num" val="0.99"/>
        <cfvo type="num" val="1"/>
        <cfvo type="num" val="1" gte="0"/>
        <cfvo type="num" val="1.01"/>
      </iconSet>
    </cfRule>
  </conditionalFormatting>
  <conditionalFormatting sqref="I112">
    <cfRule type="iconSet" priority="575">
      <iconSet iconSet="5Arrows">
        <cfvo type="percent" val="0"/>
        <cfvo type="num" val="0.99"/>
        <cfvo type="num" val="1"/>
        <cfvo type="num" val="1" gte="0"/>
        <cfvo type="num" val="1.01"/>
      </iconSet>
    </cfRule>
  </conditionalFormatting>
  <conditionalFormatting sqref="I118">
    <cfRule type="iconSet" priority="574">
      <iconSet iconSet="5Arrows">
        <cfvo type="percent" val="0"/>
        <cfvo type="num" val="0.99"/>
        <cfvo type="num" val="1"/>
        <cfvo type="num" val="1" gte="0"/>
        <cfvo type="num" val="1.01"/>
      </iconSet>
    </cfRule>
  </conditionalFormatting>
  <conditionalFormatting sqref="I136">
    <cfRule type="iconSet" priority="573">
      <iconSet iconSet="5Arrows">
        <cfvo type="percent" val="0"/>
        <cfvo type="num" val="0.99"/>
        <cfvo type="num" val="1"/>
        <cfvo type="num" val="1" gte="0"/>
        <cfvo type="num" val="1.01"/>
      </iconSet>
    </cfRule>
  </conditionalFormatting>
  <conditionalFormatting sqref="I407">
    <cfRule type="iconSet" priority="571">
      <iconSet iconSet="5Arrows">
        <cfvo type="percent" val="0"/>
        <cfvo type="num" val="0.99"/>
        <cfvo type="num" val="1"/>
        <cfvo type="num" val="1" gte="0"/>
        <cfvo type="num" val="1.01"/>
      </iconSet>
    </cfRule>
  </conditionalFormatting>
  <conditionalFormatting sqref="I403">
    <cfRule type="iconSet" priority="570">
      <iconSet iconSet="5Arrows">
        <cfvo type="percent" val="0"/>
        <cfvo type="num" val="0.99"/>
        <cfvo type="num" val="1"/>
        <cfvo type="num" val="1" gte="0"/>
        <cfvo type="num" val="1.01"/>
      </iconSet>
    </cfRule>
  </conditionalFormatting>
  <conditionalFormatting sqref="I398">
    <cfRule type="iconSet" priority="569">
      <iconSet iconSet="5Arrows">
        <cfvo type="percent" val="0"/>
        <cfvo type="num" val="0.99"/>
        <cfvo type="num" val="1"/>
        <cfvo type="num" val="1" gte="0"/>
        <cfvo type="num" val="1.01"/>
      </iconSet>
    </cfRule>
  </conditionalFormatting>
  <conditionalFormatting sqref="I386">
    <cfRule type="iconSet" priority="568">
      <iconSet iconSet="5Arrows">
        <cfvo type="percent" val="0"/>
        <cfvo type="num" val="0.99"/>
        <cfvo type="num" val="1"/>
        <cfvo type="num" val="1" gte="0"/>
        <cfvo type="num" val="1.01"/>
      </iconSet>
    </cfRule>
  </conditionalFormatting>
  <conditionalFormatting sqref="I381">
    <cfRule type="iconSet" priority="567">
      <iconSet iconSet="5Arrows">
        <cfvo type="percent" val="0"/>
        <cfvo type="num" val="0.99"/>
        <cfvo type="num" val="1"/>
        <cfvo type="num" val="1" gte="0"/>
        <cfvo type="num" val="1.01"/>
      </iconSet>
    </cfRule>
  </conditionalFormatting>
  <conditionalFormatting sqref="I71">
    <cfRule type="iconSet" priority="566">
      <iconSet iconSet="5Arrows">
        <cfvo type="percent" val="0"/>
        <cfvo type="num" val="0.99"/>
        <cfvo type="num" val="1"/>
        <cfvo type="num" val="1" gte="0"/>
        <cfvo type="num" val="1.01"/>
      </iconSet>
    </cfRule>
  </conditionalFormatting>
  <conditionalFormatting sqref="I142">
    <cfRule type="iconSet" priority="565">
      <iconSet iconSet="5Arrows">
        <cfvo type="percent" val="0"/>
        <cfvo type="num" val="0.99"/>
        <cfvo type="num" val="1"/>
        <cfvo type="num" val="1" gte="0"/>
        <cfvo type="num" val="1.01"/>
      </iconSet>
    </cfRule>
  </conditionalFormatting>
  <conditionalFormatting sqref="I214">
    <cfRule type="iconSet" priority="564">
      <iconSet iconSet="5Arrows">
        <cfvo type="percent" val="0"/>
        <cfvo type="num" val="0.99"/>
        <cfvo type="num" val="1"/>
        <cfvo type="num" val="1" gte="0"/>
        <cfvo type="num" val="1.01"/>
      </iconSet>
    </cfRule>
  </conditionalFormatting>
  <conditionalFormatting sqref="I223">
    <cfRule type="iconSet" priority="563">
      <iconSet iconSet="5Arrows">
        <cfvo type="percent" val="0"/>
        <cfvo type="num" val="0.99"/>
        <cfvo type="num" val="1"/>
        <cfvo type="num" val="1" gte="0"/>
        <cfvo type="num" val="1.01"/>
      </iconSet>
    </cfRule>
  </conditionalFormatting>
  <conditionalFormatting sqref="I245">
    <cfRule type="iconSet" priority="562">
      <iconSet iconSet="5Arrows">
        <cfvo type="percent" val="0"/>
        <cfvo type="num" val="0.99"/>
        <cfvo type="num" val="1"/>
        <cfvo type="num" val="1" gte="0"/>
        <cfvo type="num" val="1.01"/>
      </iconSet>
    </cfRule>
  </conditionalFormatting>
  <conditionalFormatting sqref="I68">
    <cfRule type="iconSet" priority="560">
      <iconSet iconSet="5Arrows">
        <cfvo type="percent" val="0"/>
        <cfvo type="num" val="0.99"/>
        <cfvo type="num" val="1"/>
        <cfvo type="num" val="1" gte="0"/>
        <cfvo type="num" val="1.01"/>
      </iconSet>
    </cfRule>
  </conditionalFormatting>
  <conditionalFormatting sqref="H68:I68">
    <cfRule type="iconSet" priority="556">
      <iconSet iconSet="3Symbols">
        <cfvo type="percent" val="0"/>
        <cfvo type="num" val="0.85"/>
        <cfvo type="num" val="0.995"/>
      </iconSet>
    </cfRule>
  </conditionalFormatting>
  <conditionalFormatting sqref="H235">
    <cfRule type="iconSet" priority="513">
      <iconSet iconSet="5Arrows">
        <cfvo type="percent" val="0"/>
        <cfvo type="num" val="0.99"/>
        <cfvo type="num" val="1"/>
        <cfvo type="num" val="1" gte="0"/>
        <cfvo type="num" val="1.01"/>
      </iconSet>
    </cfRule>
  </conditionalFormatting>
  <conditionalFormatting sqref="H242">
    <cfRule type="iconSet" priority="512">
      <iconSet iconSet="5Arrows">
        <cfvo type="percent" val="0"/>
        <cfvo type="num" val="0.99"/>
        <cfvo type="num" val="1"/>
        <cfvo type="num" val="1" gte="0"/>
        <cfvo type="num" val="1.01"/>
      </iconSet>
    </cfRule>
  </conditionalFormatting>
  <conditionalFormatting sqref="H223">
    <cfRule type="iconSet" priority="506">
      <iconSet iconSet="5Arrows">
        <cfvo type="percent" val="0"/>
        <cfvo type="num" val="0.99"/>
        <cfvo type="num" val="1"/>
        <cfvo type="num" val="1" gte="0"/>
        <cfvo type="num" val="1.01"/>
      </iconSet>
    </cfRule>
  </conditionalFormatting>
  <conditionalFormatting sqref="H214:I214">
    <cfRule type="iconSet" priority="505">
      <iconSet iconSet="5Arrows">
        <cfvo type="percent" val="0"/>
        <cfvo type="num" val="0.99"/>
        <cfvo type="num" val="1"/>
        <cfvo type="num" val="1" gte="0"/>
        <cfvo type="num" val="1.01"/>
      </iconSet>
    </cfRule>
  </conditionalFormatting>
  <conditionalFormatting sqref="I255">
    <cfRule type="iconSet" priority="490">
      <iconSet iconSet="5Arrows">
        <cfvo type="percent" val="0"/>
        <cfvo type="num" val="0.99"/>
        <cfvo type="num" val="1"/>
        <cfvo type="num" val="1" gte="0"/>
        <cfvo type="num" val="1.01"/>
      </iconSet>
    </cfRule>
  </conditionalFormatting>
  <conditionalFormatting sqref="H255">
    <cfRule type="iconSet" priority="2969">
      <iconSet iconSet="5Arrows">
        <cfvo type="percent" val="0"/>
        <cfvo type="num" val="0.99"/>
        <cfvo type="num" val="1"/>
        <cfvo type="num" val="1" gte="0"/>
        <cfvo type="num" val="1.01"/>
      </iconSet>
    </cfRule>
  </conditionalFormatting>
  <conditionalFormatting sqref="H255">
    <cfRule type="iconSet" priority="2971">
      <iconSet iconSet="5Arrows">
        <cfvo type="percent" val="0"/>
        <cfvo type="num" val="0.99"/>
        <cfvo type="num" val="1"/>
        <cfvo type="num" val="1" gte="0"/>
        <cfvo type="num" val="1.01"/>
      </iconSet>
    </cfRule>
  </conditionalFormatting>
  <conditionalFormatting sqref="H468 H458 H436 H6:I6 H258 H338 H71 H407 H16 H32 H43 H49 H56 H63 H81 H91 H100 H109 H112:I112 H118 H124 H136:I136 H142 H145 H152 H157 H170:I170 H177 H180:I180 H189:I189 H194 H199 H203 H212 H214:I214 H223 H235 H242 H245 H255 H262 H267 H277:I277 H285 H292 H299:I299 H306 H315 H323:I323 H329 H347 H350 H356:I356 H366:I366 H374 H381:I381 H398 H403 H411 H415 H421 H425 H430 H441 H444 H449:I449 H476 H487 H386:I386 H273:I273 H492:I492 H162:I162">
    <cfRule type="iconSet" priority="3194">
      <iconSet iconSet="3Symbols">
        <cfvo type="percent" val="0"/>
        <cfvo type="num" val="0.85"/>
        <cfvo type="num" val="0.995"/>
      </iconSet>
    </cfRule>
  </conditionalFormatting>
  <conditionalFormatting sqref="I468 I458 I411 I374 I255 I6 I124 I436 I338 I235 I145 I16 I32 I43 I49 I56 I63 I81 I91 I100 I109 I152 I157 I170 I177 I180 I189 I194 I199 I203 I212 I242 I258 I262 I267 I277 I285 I292 I299 I306 I315 I329 I347 I415 I421 I425 I430 I441 I444 I449 I476 I487">
    <cfRule type="iconSet" priority="3221">
      <iconSet iconSet="5Arrows">
        <cfvo type="percent" val="0"/>
        <cfvo type="num" val="0.99"/>
        <cfvo type="num" val="1"/>
        <cfvo type="num" val="1" gte="0"/>
        <cfvo type="num" val="1.01"/>
      </iconSet>
    </cfRule>
  </conditionalFormatting>
  <conditionalFormatting sqref="H7:H15">
    <cfRule type="iconSet" priority="470">
      <iconSet iconSet="3Symbols">
        <cfvo type="percent" val="0"/>
        <cfvo type="num" val="0.85"/>
        <cfvo type="num" val="0.995"/>
      </iconSet>
    </cfRule>
  </conditionalFormatting>
  <conditionalFormatting sqref="I7:I15">
    <cfRule type="iconSet" priority="471">
      <iconSet iconSet="5Arrows">
        <cfvo type="percent" val="0"/>
        <cfvo type="num" val="0.99"/>
        <cfvo type="num" val="1"/>
        <cfvo type="num" val="1" gte="0"/>
        <cfvo type="num" val="1.01"/>
      </iconSet>
    </cfRule>
  </conditionalFormatting>
  <conditionalFormatting sqref="I21">
    <cfRule type="iconSet" priority="467">
      <iconSet iconSet="3Symbols">
        <cfvo type="percent" val="0"/>
        <cfvo type="num" val="0.85"/>
        <cfvo type="num" val="0.995"/>
      </iconSet>
    </cfRule>
  </conditionalFormatting>
  <conditionalFormatting sqref="I37">
    <cfRule type="iconSet" priority="464">
      <iconSet iconSet="3Symbols">
        <cfvo type="percent" val="0"/>
        <cfvo type="num" val="0.85"/>
        <cfvo type="num" val="0.995"/>
      </iconSet>
    </cfRule>
  </conditionalFormatting>
  <conditionalFormatting sqref="I38:I42">
    <cfRule type="iconSet" priority="463">
      <iconSet iconSet="3Symbols">
        <cfvo type="percent" val="0"/>
        <cfvo type="num" val="0.85"/>
        <cfvo type="num" val="0.995"/>
      </iconSet>
    </cfRule>
  </conditionalFormatting>
  <conditionalFormatting sqref="H33:H42">
    <cfRule type="iconSet" priority="465">
      <iconSet iconSet="3Symbols">
        <cfvo type="percent" val="0"/>
        <cfvo type="num" val="0.85"/>
        <cfvo type="num" val="0.995"/>
      </iconSet>
    </cfRule>
  </conditionalFormatting>
  <conditionalFormatting sqref="I33:I42">
    <cfRule type="iconSet" priority="466">
      <iconSet iconSet="5Arrows">
        <cfvo type="percent" val="0"/>
        <cfvo type="num" val="0.99"/>
        <cfvo type="num" val="1"/>
        <cfvo type="num" val="1" gte="0"/>
        <cfvo type="num" val="1.01"/>
      </iconSet>
    </cfRule>
  </conditionalFormatting>
  <conditionalFormatting sqref="H50:H52">
    <cfRule type="iconSet" priority="456">
      <iconSet iconSet="3Symbols">
        <cfvo type="percent" val="0"/>
        <cfvo type="num" val="0.85"/>
        <cfvo type="num" val="0.995"/>
      </iconSet>
    </cfRule>
  </conditionalFormatting>
  <conditionalFormatting sqref="I50:I55">
    <cfRule type="iconSet" priority="457">
      <iconSet iconSet="5Arrows">
        <cfvo type="percent" val="0"/>
        <cfvo type="num" val="0.99"/>
        <cfvo type="num" val="1"/>
        <cfvo type="num" val="1" gte="0"/>
        <cfvo type="num" val="1.01"/>
      </iconSet>
    </cfRule>
  </conditionalFormatting>
  <conditionalFormatting sqref="H57:H62">
    <cfRule type="iconSet" priority="449">
      <iconSet iconSet="3Symbols">
        <cfvo type="percent" val="0"/>
        <cfvo type="num" val="0.85"/>
        <cfvo type="num" val="0.995"/>
      </iconSet>
    </cfRule>
  </conditionalFormatting>
  <conditionalFormatting sqref="I57:I62">
    <cfRule type="iconSet" priority="450">
      <iconSet iconSet="5Arrows">
        <cfvo type="percent" val="0"/>
        <cfvo type="num" val="0.99"/>
        <cfvo type="num" val="1"/>
        <cfvo type="num" val="1" gte="0"/>
        <cfvo type="num" val="1.01"/>
      </iconSet>
    </cfRule>
  </conditionalFormatting>
  <conditionalFormatting sqref="H64:H67">
    <cfRule type="iconSet" priority="447">
      <iconSet iconSet="3Symbols">
        <cfvo type="percent" val="0"/>
        <cfvo type="num" val="0.85"/>
        <cfvo type="num" val="0.995"/>
      </iconSet>
    </cfRule>
  </conditionalFormatting>
  <conditionalFormatting sqref="I64:I67">
    <cfRule type="iconSet" priority="448">
      <iconSet iconSet="5Arrows">
        <cfvo type="percent" val="0"/>
        <cfvo type="num" val="0.99"/>
        <cfvo type="num" val="1"/>
        <cfvo type="num" val="1" gte="0"/>
        <cfvo type="num" val="1.01"/>
      </iconSet>
    </cfRule>
  </conditionalFormatting>
  <conditionalFormatting sqref="H69:H70">
    <cfRule type="iconSet" priority="444">
      <iconSet iconSet="3Symbols">
        <cfvo type="percent" val="0"/>
        <cfvo type="num" val="0.85"/>
        <cfvo type="num" val="0.995"/>
      </iconSet>
    </cfRule>
  </conditionalFormatting>
  <conditionalFormatting sqref="I69:I70">
    <cfRule type="iconSet" priority="443">
      <iconSet iconSet="5Arrows">
        <cfvo type="percent" val="0"/>
        <cfvo type="num" val="0.99"/>
        <cfvo type="num" val="1"/>
        <cfvo type="num" val="1" gte="0"/>
        <cfvo type="num" val="1.01"/>
      </iconSet>
    </cfRule>
  </conditionalFormatting>
  <conditionalFormatting sqref="H72:H76 H79">
    <cfRule type="iconSet" priority="441">
      <iconSet iconSet="3Symbols">
        <cfvo type="percent" val="0"/>
        <cfvo type="num" val="0.85"/>
        <cfvo type="num" val="0.995"/>
      </iconSet>
    </cfRule>
  </conditionalFormatting>
  <conditionalFormatting sqref="I72:I79">
    <cfRule type="iconSet" priority="442">
      <iconSet iconSet="5Arrows">
        <cfvo type="percent" val="0"/>
        <cfvo type="num" val="0.99"/>
        <cfvo type="num" val="1"/>
        <cfvo type="num" val="1" gte="0"/>
        <cfvo type="num" val="1.01"/>
      </iconSet>
    </cfRule>
  </conditionalFormatting>
  <conditionalFormatting sqref="H90 H82:H88">
    <cfRule type="iconSet" priority="437">
      <iconSet iconSet="3Symbols">
        <cfvo type="percent" val="0"/>
        <cfvo type="num" val="0.85"/>
        <cfvo type="num" val="0.995"/>
      </iconSet>
    </cfRule>
  </conditionalFormatting>
  <conditionalFormatting sqref="I82:I88">
    <cfRule type="iconSet" priority="438">
      <iconSet iconSet="5Arrows">
        <cfvo type="percent" val="0"/>
        <cfvo type="num" val="0.99"/>
        <cfvo type="num" val="1"/>
        <cfvo type="num" val="1" gte="0"/>
        <cfvo type="num" val="1.01"/>
      </iconSet>
    </cfRule>
  </conditionalFormatting>
  <conditionalFormatting sqref="H98 H92:H95">
    <cfRule type="iconSet" priority="435">
      <iconSet iconSet="3Symbols">
        <cfvo type="percent" val="0"/>
        <cfvo type="num" val="0.85"/>
        <cfvo type="num" val="0.995"/>
      </iconSet>
    </cfRule>
  </conditionalFormatting>
  <conditionalFormatting sqref="I92:I98">
    <cfRule type="iconSet" priority="436">
      <iconSet iconSet="5Arrows">
        <cfvo type="percent" val="0"/>
        <cfvo type="num" val="0.99"/>
        <cfvo type="num" val="1"/>
        <cfvo type="num" val="1" gte="0"/>
        <cfvo type="num" val="1.01"/>
      </iconSet>
    </cfRule>
  </conditionalFormatting>
  <conditionalFormatting sqref="H108">
    <cfRule type="iconSet" priority="429">
      <iconSet iconSet="3Symbols">
        <cfvo type="percent" val="0"/>
        <cfvo type="num" val="0.85"/>
        <cfvo type="num" val="0.995"/>
      </iconSet>
    </cfRule>
  </conditionalFormatting>
  <conditionalFormatting sqref="H110">
    <cfRule type="iconSet" priority="427">
      <iconSet iconSet="3Symbols">
        <cfvo type="percent" val="0"/>
        <cfvo type="num" val="0.85"/>
        <cfvo type="num" val="0.995"/>
      </iconSet>
    </cfRule>
  </conditionalFormatting>
  <conditionalFormatting sqref="I110">
    <cfRule type="iconSet" priority="428">
      <iconSet iconSet="5Arrows">
        <cfvo type="percent" val="0"/>
        <cfvo type="num" val="0.99"/>
        <cfvo type="num" val="1"/>
        <cfvo type="num" val="1" gte="0"/>
        <cfvo type="num" val="1.01"/>
      </iconSet>
    </cfRule>
  </conditionalFormatting>
  <conditionalFormatting sqref="H113:H117">
    <cfRule type="iconSet" priority="425">
      <iconSet iconSet="3Symbols">
        <cfvo type="percent" val="0"/>
        <cfvo type="num" val="0.85"/>
        <cfvo type="num" val="0.995"/>
      </iconSet>
    </cfRule>
  </conditionalFormatting>
  <conditionalFormatting sqref="I113:I117">
    <cfRule type="iconSet" priority="426">
      <iconSet iconSet="5Arrows">
        <cfvo type="percent" val="0"/>
        <cfvo type="num" val="0.99"/>
        <cfvo type="num" val="1"/>
        <cfvo type="num" val="1" gte="0"/>
        <cfvo type="num" val="1.01"/>
      </iconSet>
    </cfRule>
  </conditionalFormatting>
  <conditionalFormatting sqref="H119:H121 H123">
    <cfRule type="iconSet" priority="423">
      <iconSet iconSet="3Symbols">
        <cfvo type="percent" val="0"/>
        <cfvo type="num" val="0.85"/>
        <cfvo type="num" val="0.995"/>
      </iconSet>
    </cfRule>
  </conditionalFormatting>
  <conditionalFormatting sqref="I119:I121 I123">
    <cfRule type="iconSet" priority="424">
      <iconSet iconSet="5Arrows">
        <cfvo type="percent" val="0"/>
        <cfvo type="num" val="0.99"/>
        <cfvo type="num" val="1"/>
        <cfvo type="num" val="1" gte="0"/>
        <cfvo type="num" val="1.01"/>
      </iconSet>
    </cfRule>
  </conditionalFormatting>
  <conditionalFormatting sqref="H137:H139 H141">
    <cfRule type="iconSet" priority="419">
      <iconSet iconSet="3Symbols">
        <cfvo type="percent" val="0"/>
        <cfvo type="num" val="0.85"/>
        <cfvo type="num" val="0.995"/>
      </iconSet>
    </cfRule>
  </conditionalFormatting>
  <conditionalFormatting sqref="I137:I139">
    <cfRule type="iconSet" priority="420">
      <iconSet iconSet="5Arrows">
        <cfvo type="percent" val="0"/>
        <cfvo type="num" val="0.99"/>
        <cfvo type="num" val="1"/>
        <cfvo type="num" val="1" gte="0"/>
        <cfvo type="num" val="1.01"/>
      </iconSet>
    </cfRule>
  </conditionalFormatting>
  <conditionalFormatting sqref="H143:H144">
    <cfRule type="iconSet" priority="415">
      <iconSet iconSet="3Symbols">
        <cfvo type="percent" val="0"/>
        <cfvo type="num" val="0.85"/>
        <cfvo type="num" val="0.995"/>
      </iconSet>
    </cfRule>
  </conditionalFormatting>
  <conditionalFormatting sqref="I143:I144">
    <cfRule type="iconSet" priority="416">
      <iconSet iconSet="5Arrows">
        <cfvo type="percent" val="0"/>
        <cfvo type="num" val="0.99"/>
        <cfvo type="num" val="1"/>
        <cfvo type="num" val="1" gte="0"/>
        <cfvo type="num" val="1.01"/>
      </iconSet>
    </cfRule>
  </conditionalFormatting>
  <conditionalFormatting sqref="H146:H148 H151">
    <cfRule type="iconSet" priority="413">
      <iconSet iconSet="3Symbols">
        <cfvo type="percent" val="0"/>
        <cfvo type="num" val="0.85"/>
        <cfvo type="num" val="0.995"/>
      </iconSet>
    </cfRule>
  </conditionalFormatting>
  <conditionalFormatting sqref="I146:I148">
    <cfRule type="iconSet" priority="414">
      <iconSet iconSet="5Arrows">
        <cfvo type="percent" val="0"/>
        <cfvo type="num" val="0.99"/>
        <cfvo type="num" val="1"/>
        <cfvo type="num" val="1" gte="0"/>
        <cfvo type="num" val="1.01"/>
      </iconSet>
    </cfRule>
  </conditionalFormatting>
  <conditionalFormatting sqref="H153:H156">
    <cfRule type="iconSet" priority="411">
      <iconSet iconSet="3Symbols">
        <cfvo type="percent" val="0"/>
        <cfvo type="num" val="0.85"/>
        <cfvo type="num" val="0.995"/>
      </iconSet>
    </cfRule>
  </conditionalFormatting>
  <conditionalFormatting sqref="I153:I156">
    <cfRule type="iconSet" priority="412">
      <iconSet iconSet="5Arrows">
        <cfvo type="percent" val="0"/>
        <cfvo type="num" val="0.99"/>
        <cfvo type="num" val="1"/>
        <cfvo type="num" val="1" gte="0"/>
        <cfvo type="num" val="1.01"/>
      </iconSet>
    </cfRule>
  </conditionalFormatting>
  <conditionalFormatting sqref="H158:H161">
    <cfRule type="iconSet" priority="409">
      <iconSet iconSet="3Symbols">
        <cfvo type="percent" val="0"/>
        <cfvo type="num" val="0.85"/>
        <cfvo type="num" val="0.995"/>
      </iconSet>
    </cfRule>
  </conditionalFormatting>
  <conditionalFormatting sqref="I158:I161">
    <cfRule type="iconSet" priority="410">
      <iconSet iconSet="5Arrows">
        <cfvo type="percent" val="0"/>
        <cfvo type="num" val="0.99"/>
        <cfvo type="num" val="1"/>
        <cfvo type="num" val="1" gte="0"/>
        <cfvo type="num" val="1.01"/>
      </iconSet>
    </cfRule>
  </conditionalFormatting>
  <conditionalFormatting sqref="H168 H163">
    <cfRule type="iconSet" priority="407">
      <iconSet iconSet="3Symbols">
        <cfvo type="percent" val="0"/>
        <cfvo type="num" val="0.85"/>
        <cfvo type="num" val="0.995"/>
      </iconSet>
    </cfRule>
  </conditionalFormatting>
  <conditionalFormatting sqref="I163">
    <cfRule type="iconSet" priority="408">
      <iconSet iconSet="5Arrows">
        <cfvo type="percent" val="0"/>
        <cfvo type="num" val="0.99"/>
        <cfvo type="num" val="1"/>
        <cfvo type="num" val="1" gte="0"/>
        <cfvo type="num" val="1.01"/>
      </iconSet>
    </cfRule>
  </conditionalFormatting>
  <conditionalFormatting sqref="H190:H193">
    <cfRule type="iconSet" priority="397">
      <iconSet iconSet="3Symbols">
        <cfvo type="percent" val="0"/>
        <cfvo type="num" val="0.85"/>
        <cfvo type="num" val="0.995"/>
      </iconSet>
    </cfRule>
  </conditionalFormatting>
  <conditionalFormatting sqref="I190:I193">
    <cfRule type="iconSet" priority="398">
      <iconSet iconSet="5Arrows">
        <cfvo type="percent" val="0"/>
        <cfvo type="num" val="0.99"/>
        <cfvo type="num" val="1"/>
        <cfvo type="num" val="1" gte="0"/>
        <cfvo type="num" val="1.01"/>
      </iconSet>
    </cfRule>
  </conditionalFormatting>
  <conditionalFormatting sqref="H200:H202">
    <cfRule type="iconSet" priority="393">
      <iconSet iconSet="3Symbols">
        <cfvo type="percent" val="0"/>
        <cfvo type="num" val="0.85"/>
        <cfvo type="num" val="0.995"/>
      </iconSet>
    </cfRule>
  </conditionalFormatting>
  <conditionalFormatting sqref="I200:I202">
    <cfRule type="iconSet" priority="394">
      <iconSet iconSet="5Arrows">
        <cfvo type="percent" val="0"/>
        <cfvo type="num" val="0.99"/>
        <cfvo type="num" val="1"/>
        <cfvo type="num" val="1" gte="0"/>
        <cfvo type="num" val="1.01"/>
      </iconSet>
    </cfRule>
  </conditionalFormatting>
  <conditionalFormatting sqref="H213">
    <cfRule type="iconSet" priority="389">
      <iconSet iconSet="3Symbols">
        <cfvo type="percent" val="0"/>
        <cfvo type="num" val="0.85"/>
        <cfvo type="num" val="0.995"/>
      </iconSet>
    </cfRule>
  </conditionalFormatting>
  <conditionalFormatting sqref="I213">
    <cfRule type="iconSet" priority="390">
      <iconSet iconSet="5Arrows">
        <cfvo type="percent" val="0"/>
        <cfvo type="num" val="0.99"/>
        <cfvo type="num" val="1"/>
        <cfvo type="num" val="1" gte="0"/>
        <cfvo type="num" val="1.01"/>
      </iconSet>
    </cfRule>
  </conditionalFormatting>
  <conditionalFormatting sqref="H215:H217 H222">
    <cfRule type="iconSet" priority="386">
      <iconSet iconSet="5Arrows">
        <cfvo type="percent" val="0"/>
        <cfvo type="num" val="0.99"/>
        <cfvo type="num" val="1"/>
        <cfvo type="num" val="1" gte="0"/>
        <cfvo type="num" val="1.01"/>
      </iconSet>
    </cfRule>
  </conditionalFormatting>
  <conditionalFormatting sqref="H215:H217 H222">
    <cfRule type="iconSet" priority="387">
      <iconSet iconSet="3Symbols">
        <cfvo type="percent" val="0"/>
        <cfvo type="num" val="0.85"/>
        <cfvo type="num" val="0.995"/>
      </iconSet>
    </cfRule>
  </conditionalFormatting>
  <conditionalFormatting sqref="I215:I219">
    <cfRule type="iconSet" priority="388">
      <iconSet iconSet="5Arrows">
        <cfvo type="percent" val="0"/>
        <cfvo type="num" val="0.99"/>
        <cfvo type="num" val="1"/>
        <cfvo type="num" val="1" gte="0"/>
        <cfvo type="num" val="1.01"/>
      </iconSet>
    </cfRule>
  </conditionalFormatting>
  <conditionalFormatting sqref="H232">
    <cfRule type="iconSet" priority="377">
      <iconSet iconSet="5Arrows">
        <cfvo type="percent" val="0"/>
        <cfvo type="num" val="0.99"/>
        <cfvo type="num" val="1"/>
        <cfvo type="num" val="1" gte="0"/>
        <cfvo type="num" val="1.01"/>
      </iconSet>
    </cfRule>
  </conditionalFormatting>
  <conditionalFormatting sqref="H232">
    <cfRule type="iconSet" priority="378">
      <iconSet iconSet="3Symbols">
        <cfvo type="percent" val="0"/>
        <cfvo type="num" val="0.85"/>
        <cfvo type="num" val="0.995"/>
      </iconSet>
    </cfRule>
  </conditionalFormatting>
  <conditionalFormatting sqref="H233:H234">
    <cfRule type="iconSet" priority="373">
      <iconSet iconSet="5Arrows">
        <cfvo type="percent" val="0"/>
        <cfvo type="num" val="0.99"/>
        <cfvo type="num" val="1"/>
        <cfvo type="num" val="1" gte="0"/>
        <cfvo type="num" val="1.01"/>
      </iconSet>
    </cfRule>
  </conditionalFormatting>
  <conditionalFormatting sqref="H233:H234">
    <cfRule type="iconSet" priority="374">
      <iconSet iconSet="3Symbols">
        <cfvo type="percent" val="0"/>
        <cfvo type="num" val="0.85"/>
        <cfvo type="num" val="0.995"/>
      </iconSet>
    </cfRule>
  </conditionalFormatting>
  <conditionalFormatting sqref="H236:H237 H241">
    <cfRule type="iconSet" priority="363">
      <iconSet iconSet="5Arrows">
        <cfvo type="percent" val="0"/>
        <cfvo type="num" val="0.99"/>
        <cfvo type="num" val="1"/>
        <cfvo type="num" val="1" gte="0"/>
        <cfvo type="num" val="1.01"/>
      </iconSet>
    </cfRule>
  </conditionalFormatting>
  <conditionalFormatting sqref="I241 I236:I237">
    <cfRule type="iconSet" priority="366">
      <iconSet iconSet="5Arrows">
        <cfvo type="percent" val="0"/>
        <cfvo type="num" val="0.99"/>
        <cfvo type="num" val="1"/>
        <cfvo type="num" val="1" gte="0"/>
        <cfvo type="num" val="1.01"/>
      </iconSet>
    </cfRule>
  </conditionalFormatting>
  <conditionalFormatting sqref="H256:H257">
    <cfRule type="iconSet" priority="345">
      <iconSet iconSet="5Arrows">
        <cfvo type="percent" val="0"/>
        <cfvo type="num" val="0.99"/>
        <cfvo type="num" val="1"/>
        <cfvo type="num" val="1" gte="0"/>
        <cfvo type="num" val="1.01"/>
      </iconSet>
    </cfRule>
  </conditionalFormatting>
  <conditionalFormatting sqref="H256:H257">
    <cfRule type="iconSet" priority="346">
      <iconSet iconSet="5Arrows">
        <cfvo type="percent" val="0"/>
        <cfvo type="num" val="0.99"/>
        <cfvo type="num" val="1"/>
        <cfvo type="num" val="1" gte="0"/>
        <cfvo type="num" val="1.01"/>
      </iconSet>
    </cfRule>
  </conditionalFormatting>
  <conditionalFormatting sqref="H256:H257">
    <cfRule type="iconSet" priority="347">
      <iconSet iconSet="3Symbols">
        <cfvo type="percent" val="0"/>
        <cfvo type="num" val="0.85"/>
        <cfvo type="num" val="0.995"/>
      </iconSet>
    </cfRule>
  </conditionalFormatting>
  <conditionalFormatting sqref="I256:I257">
    <cfRule type="iconSet" priority="348">
      <iconSet iconSet="5Arrows">
        <cfvo type="percent" val="0"/>
        <cfvo type="num" val="0.99"/>
        <cfvo type="num" val="1"/>
        <cfvo type="num" val="1" gte="0"/>
        <cfvo type="num" val="1.01"/>
      </iconSet>
    </cfRule>
  </conditionalFormatting>
  <conditionalFormatting sqref="H259:H261">
    <cfRule type="iconSet" priority="319">
      <iconSet iconSet="3Symbols">
        <cfvo type="percent" val="0"/>
        <cfvo type="num" val="0.85"/>
        <cfvo type="num" val="0.995"/>
      </iconSet>
    </cfRule>
  </conditionalFormatting>
  <conditionalFormatting sqref="I259:I261">
    <cfRule type="iconSet" priority="320">
      <iconSet iconSet="5Arrows">
        <cfvo type="percent" val="0"/>
        <cfvo type="num" val="0.99"/>
        <cfvo type="num" val="1"/>
        <cfvo type="num" val="1" gte="0"/>
        <cfvo type="num" val="1.01"/>
      </iconSet>
    </cfRule>
  </conditionalFormatting>
  <conditionalFormatting sqref="H263:H266">
    <cfRule type="iconSet" priority="317">
      <iconSet iconSet="3Symbols">
        <cfvo type="percent" val="0"/>
        <cfvo type="num" val="0.85"/>
        <cfvo type="num" val="0.995"/>
      </iconSet>
    </cfRule>
  </conditionalFormatting>
  <conditionalFormatting sqref="I263:I266">
    <cfRule type="iconSet" priority="318">
      <iconSet iconSet="5Arrows">
        <cfvo type="percent" val="0"/>
        <cfvo type="num" val="0.99"/>
        <cfvo type="num" val="1"/>
        <cfvo type="num" val="1" gte="0"/>
        <cfvo type="num" val="1.01"/>
      </iconSet>
    </cfRule>
  </conditionalFormatting>
  <conditionalFormatting sqref="H268:H269">
    <cfRule type="iconSet" priority="315">
      <iconSet iconSet="3Symbols">
        <cfvo type="percent" val="0"/>
        <cfvo type="num" val="0.85"/>
        <cfvo type="num" val="0.995"/>
      </iconSet>
    </cfRule>
  </conditionalFormatting>
  <conditionalFormatting sqref="I268:I269">
    <cfRule type="iconSet" priority="316">
      <iconSet iconSet="5Arrows">
        <cfvo type="percent" val="0"/>
        <cfvo type="num" val="0.99"/>
        <cfvo type="num" val="1"/>
        <cfvo type="num" val="1" gte="0"/>
        <cfvo type="num" val="1.01"/>
      </iconSet>
    </cfRule>
  </conditionalFormatting>
  <conditionalFormatting sqref="H270">
    <cfRule type="iconSet" priority="313">
      <iconSet iconSet="3Symbols">
        <cfvo type="percent" val="0"/>
        <cfvo type="num" val="0.85"/>
        <cfvo type="num" val="0.995"/>
      </iconSet>
    </cfRule>
  </conditionalFormatting>
  <conditionalFormatting sqref="I270">
    <cfRule type="iconSet" priority="314">
      <iconSet iconSet="5Arrows">
        <cfvo type="percent" val="0"/>
        <cfvo type="num" val="0.99"/>
        <cfvo type="num" val="1"/>
        <cfvo type="num" val="1" gte="0"/>
        <cfvo type="num" val="1.01"/>
      </iconSet>
    </cfRule>
  </conditionalFormatting>
  <conditionalFormatting sqref="H276">
    <cfRule type="iconSet" priority="308">
      <iconSet iconSet="3Symbols">
        <cfvo type="percent" val="0"/>
        <cfvo type="num" val="0.85"/>
        <cfvo type="num" val="0.995"/>
      </iconSet>
    </cfRule>
  </conditionalFormatting>
  <conditionalFormatting sqref="H276">
    <cfRule type="iconSet" priority="309">
      <iconSet iconSet="3Symbols">
        <cfvo type="percent" val="0"/>
        <cfvo type="num" val="0.85"/>
        <cfvo type="num" val="0.995"/>
      </iconSet>
    </cfRule>
  </conditionalFormatting>
  <conditionalFormatting sqref="H275">
    <cfRule type="iconSet" priority="304">
      <iconSet iconSet="3Symbols">
        <cfvo type="percent" val="0"/>
        <cfvo type="num" val="0.85"/>
        <cfvo type="num" val="0.995"/>
      </iconSet>
    </cfRule>
  </conditionalFormatting>
  <conditionalFormatting sqref="H275">
    <cfRule type="iconSet" priority="305">
      <iconSet iconSet="3Symbols">
        <cfvo type="percent" val="0"/>
        <cfvo type="num" val="0.85"/>
        <cfvo type="num" val="0.995"/>
      </iconSet>
    </cfRule>
  </conditionalFormatting>
  <conditionalFormatting sqref="H274">
    <cfRule type="iconSet" priority="300">
      <iconSet iconSet="3Symbols">
        <cfvo type="percent" val="0"/>
        <cfvo type="num" val="0.85"/>
        <cfvo type="num" val="0.995"/>
      </iconSet>
    </cfRule>
  </conditionalFormatting>
  <conditionalFormatting sqref="H274">
    <cfRule type="iconSet" priority="301">
      <iconSet iconSet="3Symbols">
        <cfvo type="percent" val="0"/>
        <cfvo type="num" val="0.85"/>
        <cfvo type="num" val="0.995"/>
      </iconSet>
    </cfRule>
  </conditionalFormatting>
  <conditionalFormatting sqref="I279:I284">
    <cfRule type="iconSet" priority="296">
      <iconSet iconSet="5Arrows">
        <cfvo type="percent" val="0"/>
        <cfvo type="num" val="0.99"/>
        <cfvo type="num" val="1"/>
        <cfvo type="num" val="1" gte="0"/>
        <cfvo type="num" val="1.01"/>
      </iconSet>
    </cfRule>
  </conditionalFormatting>
  <conditionalFormatting sqref="H279:H284">
    <cfRule type="iconSet" priority="295">
      <iconSet iconSet="3Symbols">
        <cfvo type="percent" val="0"/>
        <cfvo type="num" val="0.85"/>
        <cfvo type="num" val="0.995"/>
      </iconSet>
    </cfRule>
  </conditionalFormatting>
  <conditionalFormatting sqref="H279:H284">
    <cfRule type="iconSet" priority="297">
      <iconSet iconSet="3Symbols">
        <cfvo type="percent" val="0"/>
        <cfvo type="num" val="0.85"/>
        <cfvo type="num" val="0.995"/>
      </iconSet>
    </cfRule>
  </conditionalFormatting>
  <conditionalFormatting sqref="I279:I284">
    <cfRule type="iconSet" priority="298">
      <iconSet iconSet="5Arrows">
        <cfvo type="percent" val="0"/>
        <cfvo type="num" val="0.99"/>
        <cfvo type="num" val="1"/>
        <cfvo type="num" val="1" gte="0"/>
        <cfvo type="num" val="1.01"/>
      </iconSet>
    </cfRule>
  </conditionalFormatting>
  <conditionalFormatting sqref="I286:I290">
    <cfRule type="iconSet" priority="292">
      <iconSet iconSet="5Arrows">
        <cfvo type="percent" val="0"/>
        <cfvo type="num" val="0.99"/>
        <cfvo type="num" val="1"/>
        <cfvo type="num" val="1" gte="0"/>
        <cfvo type="num" val="1.01"/>
      </iconSet>
    </cfRule>
  </conditionalFormatting>
  <conditionalFormatting sqref="H286:H288 H290">
    <cfRule type="iconSet" priority="291">
      <iconSet iconSet="3Symbols">
        <cfvo type="percent" val="0"/>
        <cfvo type="num" val="0.85"/>
        <cfvo type="num" val="0.995"/>
      </iconSet>
    </cfRule>
  </conditionalFormatting>
  <conditionalFormatting sqref="H286:H288">
    <cfRule type="iconSet" priority="293">
      <iconSet iconSet="3Symbols">
        <cfvo type="percent" val="0"/>
        <cfvo type="num" val="0.85"/>
        <cfvo type="num" val="0.995"/>
      </iconSet>
    </cfRule>
  </conditionalFormatting>
  <conditionalFormatting sqref="I286:I290">
    <cfRule type="iconSet" priority="294">
      <iconSet iconSet="5Arrows">
        <cfvo type="percent" val="0"/>
        <cfvo type="num" val="0.99"/>
        <cfvo type="num" val="1"/>
        <cfvo type="num" val="1" gte="0"/>
        <cfvo type="num" val="1.01"/>
      </iconSet>
    </cfRule>
  </conditionalFormatting>
  <conditionalFormatting sqref="H289">
    <cfRule type="iconSet" priority="287">
      <iconSet iconSet="3Symbols">
        <cfvo type="percent" val="0"/>
        <cfvo type="num" val="0.85"/>
        <cfvo type="num" val="0.995"/>
      </iconSet>
    </cfRule>
  </conditionalFormatting>
  <conditionalFormatting sqref="H289">
    <cfRule type="iconSet" priority="289">
      <iconSet iconSet="3Symbols">
        <cfvo type="percent" val="0"/>
        <cfvo type="num" val="0.85"/>
        <cfvo type="num" val="0.995"/>
      </iconSet>
    </cfRule>
  </conditionalFormatting>
  <conditionalFormatting sqref="H303:H304">
    <cfRule type="iconSet" priority="278">
      <iconSet iconSet="3Symbols">
        <cfvo type="percent" val="0"/>
        <cfvo type="num" val="0.85"/>
        <cfvo type="num" val="0.995"/>
      </iconSet>
    </cfRule>
  </conditionalFormatting>
  <conditionalFormatting sqref="H301:H304">
    <cfRule type="iconSet" priority="280">
      <iconSet iconSet="3Symbols">
        <cfvo type="percent" val="0"/>
        <cfvo type="num" val="0.85"/>
        <cfvo type="num" val="0.995"/>
      </iconSet>
    </cfRule>
  </conditionalFormatting>
  <conditionalFormatting sqref="I301:I304">
    <cfRule type="iconSet" priority="281">
      <iconSet iconSet="5Arrows">
        <cfvo type="percent" val="0"/>
        <cfvo type="num" val="0.99"/>
        <cfvo type="num" val="1"/>
        <cfvo type="num" val="1" gte="0"/>
        <cfvo type="num" val="1.01"/>
      </iconSet>
    </cfRule>
  </conditionalFormatting>
  <conditionalFormatting sqref="H301:H304">
    <cfRule type="iconSet" priority="282">
      <iconSet iconSet="3Symbols">
        <cfvo type="percent" val="0"/>
        <cfvo type="num" val="0.85"/>
        <cfvo type="num" val="0.995"/>
      </iconSet>
    </cfRule>
  </conditionalFormatting>
  <conditionalFormatting sqref="I316">
    <cfRule type="iconSet" priority="268">
      <iconSet iconSet="5Arrows">
        <cfvo type="percent" val="0"/>
        <cfvo type="num" val="0.99"/>
        <cfvo type="num" val="1"/>
        <cfvo type="num" val="1" gte="0"/>
        <cfvo type="num" val="1.01"/>
      </iconSet>
    </cfRule>
  </conditionalFormatting>
  <conditionalFormatting sqref="H316 H318">
    <cfRule type="iconSet" priority="267">
      <iconSet iconSet="3Symbols">
        <cfvo type="percent" val="0"/>
        <cfvo type="num" val="0.85"/>
        <cfvo type="num" val="0.995"/>
      </iconSet>
    </cfRule>
  </conditionalFormatting>
  <conditionalFormatting sqref="H316">
    <cfRule type="iconSet" priority="269">
      <iconSet iconSet="3Symbols">
        <cfvo type="percent" val="0"/>
        <cfvo type="num" val="0.85"/>
        <cfvo type="num" val="0.995"/>
      </iconSet>
    </cfRule>
  </conditionalFormatting>
  <conditionalFormatting sqref="I316">
    <cfRule type="iconSet" priority="270">
      <iconSet iconSet="5Arrows">
        <cfvo type="percent" val="0"/>
        <cfvo type="num" val="0.99"/>
        <cfvo type="num" val="1"/>
        <cfvo type="num" val="1" gte="0"/>
        <cfvo type="num" val="1.01"/>
      </iconSet>
    </cfRule>
  </conditionalFormatting>
  <conditionalFormatting sqref="H320:H322">
    <cfRule type="iconSet" priority="265">
      <iconSet iconSet="3Symbols">
        <cfvo type="percent" val="0"/>
        <cfvo type="num" val="0.85"/>
        <cfvo type="num" val="0.995"/>
      </iconSet>
    </cfRule>
  </conditionalFormatting>
  <conditionalFormatting sqref="I320:I322">
    <cfRule type="iconSet" priority="266">
      <iconSet iconSet="5Arrows">
        <cfvo type="percent" val="0"/>
        <cfvo type="num" val="0.99"/>
        <cfvo type="num" val="1"/>
        <cfvo type="num" val="1" gte="0"/>
        <cfvo type="num" val="1.01"/>
      </iconSet>
    </cfRule>
  </conditionalFormatting>
  <conditionalFormatting sqref="H342:H346">
    <cfRule type="iconSet" priority="259">
      <iconSet iconSet="3Symbols">
        <cfvo type="percent" val="0"/>
        <cfvo type="num" val="0.85"/>
        <cfvo type="num" val="0.995"/>
      </iconSet>
    </cfRule>
  </conditionalFormatting>
  <conditionalFormatting sqref="I342:I346">
    <cfRule type="iconSet" priority="260">
      <iconSet iconSet="5Arrows">
        <cfvo type="percent" val="0"/>
        <cfvo type="num" val="0.99"/>
        <cfvo type="num" val="1"/>
        <cfvo type="num" val="1" gte="0"/>
        <cfvo type="num" val="1.01"/>
      </iconSet>
    </cfRule>
  </conditionalFormatting>
  <conditionalFormatting sqref="H349">
    <cfRule type="iconSet" priority="257">
      <iconSet iconSet="3Symbols">
        <cfvo type="percent" val="0"/>
        <cfvo type="num" val="0.85"/>
        <cfvo type="num" val="0.995"/>
      </iconSet>
    </cfRule>
  </conditionalFormatting>
  <conditionalFormatting sqref="H351:H353">
    <cfRule type="iconSet" priority="255">
      <iconSet iconSet="3Symbols">
        <cfvo type="percent" val="0"/>
        <cfvo type="num" val="0.85"/>
        <cfvo type="num" val="0.995"/>
      </iconSet>
    </cfRule>
  </conditionalFormatting>
  <conditionalFormatting sqref="I351:I353">
    <cfRule type="iconSet" priority="256">
      <iconSet iconSet="5Arrows">
        <cfvo type="percent" val="0"/>
        <cfvo type="num" val="0.99"/>
        <cfvo type="num" val="1"/>
        <cfvo type="num" val="1" gte="0"/>
        <cfvo type="num" val="1.01"/>
      </iconSet>
    </cfRule>
  </conditionalFormatting>
  <conditionalFormatting sqref="H367:H371 H373">
    <cfRule type="iconSet" priority="250">
      <iconSet iconSet="3Symbols">
        <cfvo type="percent" val="0"/>
        <cfvo type="num" val="0.85"/>
        <cfvo type="num" val="0.995"/>
      </iconSet>
    </cfRule>
  </conditionalFormatting>
  <conditionalFormatting sqref="I367:I371 I373">
    <cfRule type="iconSet" priority="251">
      <iconSet iconSet="5Arrows">
        <cfvo type="percent" val="0"/>
        <cfvo type="num" val="0.99"/>
        <cfvo type="num" val="1"/>
        <cfvo type="num" val="1" gte="0"/>
        <cfvo type="num" val="1.01"/>
      </iconSet>
    </cfRule>
  </conditionalFormatting>
  <conditionalFormatting sqref="I382:I384">
    <cfRule type="iconSet" priority="245">
      <iconSet iconSet="5Arrows">
        <cfvo type="percent" val="0"/>
        <cfvo type="num" val="0.99"/>
        <cfvo type="num" val="1"/>
        <cfvo type="num" val="1" gte="0"/>
        <cfvo type="num" val="1.01"/>
      </iconSet>
    </cfRule>
  </conditionalFormatting>
  <conditionalFormatting sqref="I385">
    <cfRule type="iconSet" priority="244">
      <iconSet iconSet="3Symbols">
        <cfvo type="percent" val="0"/>
        <cfvo type="num" val="0.85"/>
        <cfvo type="num" val="0.995"/>
      </iconSet>
    </cfRule>
  </conditionalFormatting>
  <conditionalFormatting sqref="H382:H385">
    <cfRule type="iconSet" priority="243">
      <iconSet iconSet="3Symbols">
        <cfvo type="percent" val="0"/>
        <cfvo type="num" val="0.85"/>
        <cfvo type="num" val="0.995"/>
      </iconSet>
    </cfRule>
  </conditionalFormatting>
  <conditionalFormatting sqref="H399:H402">
    <cfRule type="iconSet" priority="239">
      <iconSet iconSet="3Symbols">
        <cfvo type="percent" val="0"/>
        <cfvo type="num" val="0.85"/>
        <cfvo type="num" val="0.995"/>
      </iconSet>
    </cfRule>
  </conditionalFormatting>
  <conditionalFormatting sqref="I399:I402">
    <cfRule type="iconSet" priority="240">
      <iconSet iconSet="5Arrows">
        <cfvo type="percent" val="0"/>
        <cfvo type="num" val="0.99"/>
        <cfvo type="num" val="1"/>
        <cfvo type="num" val="1" gte="0"/>
        <cfvo type="num" val="1.01"/>
      </iconSet>
    </cfRule>
  </conditionalFormatting>
  <conditionalFormatting sqref="H406">
    <cfRule type="iconSet" priority="237">
      <iconSet iconSet="3Symbols">
        <cfvo type="percent" val="0"/>
        <cfvo type="num" val="0.85"/>
        <cfvo type="num" val="0.995"/>
      </iconSet>
    </cfRule>
  </conditionalFormatting>
  <conditionalFormatting sqref="I406">
    <cfRule type="iconSet" priority="238">
      <iconSet iconSet="5Arrows">
        <cfvo type="percent" val="0"/>
        <cfvo type="num" val="0.99"/>
        <cfvo type="num" val="1"/>
        <cfvo type="num" val="1" gte="0"/>
        <cfvo type="num" val="1.01"/>
      </iconSet>
    </cfRule>
  </conditionalFormatting>
  <conditionalFormatting sqref="H404">
    <cfRule type="iconSet" priority="235">
      <iconSet iconSet="3Symbols">
        <cfvo type="percent" val="0"/>
        <cfvo type="num" val="0.85"/>
        <cfvo type="num" val="0.995"/>
      </iconSet>
    </cfRule>
  </conditionalFormatting>
  <conditionalFormatting sqref="I404:I405">
    <cfRule type="iconSet" priority="236">
      <iconSet iconSet="5Arrows">
        <cfvo type="percent" val="0"/>
        <cfvo type="num" val="0.99"/>
        <cfvo type="num" val="1"/>
        <cfvo type="num" val="1" gte="0"/>
        <cfvo type="num" val="1.01"/>
      </iconSet>
    </cfRule>
  </conditionalFormatting>
  <conditionalFormatting sqref="H405">
    <cfRule type="iconSet" priority="231">
      <iconSet iconSet="3Symbols">
        <cfvo type="percent" val="0"/>
        <cfvo type="num" val="0.85"/>
        <cfvo type="num" val="0.995"/>
      </iconSet>
    </cfRule>
  </conditionalFormatting>
  <conditionalFormatting sqref="H408:H410">
    <cfRule type="iconSet" priority="229">
      <iconSet iconSet="3Symbols">
        <cfvo type="percent" val="0"/>
        <cfvo type="num" val="0.85"/>
        <cfvo type="num" val="0.995"/>
      </iconSet>
    </cfRule>
  </conditionalFormatting>
  <conditionalFormatting sqref="I408:I410">
    <cfRule type="iconSet" priority="230">
      <iconSet iconSet="5Arrows">
        <cfvo type="percent" val="0"/>
        <cfvo type="num" val="0.99"/>
        <cfvo type="num" val="1"/>
        <cfvo type="num" val="1" gte="0"/>
        <cfvo type="num" val="1.01"/>
      </iconSet>
    </cfRule>
  </conditionalFormatting>
  <conditionalFormatting sqref="H412:H414">
    <cfRule type="iconSet" priority="227">
      <iconSet iconSet="3Symbols">
        <cfvo type="percent" val="0"/>
        <cfvo type="num" val="0.85"/>
        <cfvo type="num" val="0.995"/>
      </iconSet>
    </cfRule>
  </conditionalFormatting>
  <conditionalFormatting sqref="I412:I414">
    <cfRule type="iconSet" priority="228">
      <iconSet iconSet="5Arrows">
        <cfvo type="percent" val="0"/>
        <cfvo type="num" val="0.99"/>
        <cfvo type="num" val="1"/>
        <cfvo type="num" val="1" gte="0"/>
        <cfvo type="num" val="1.01"/>
      </iconSet>
    </cfRule>
  </conditionalFormatting>
  <conditionalFormatting sqref="H416:H420">
    <cfRule type="iconSet" priority="225">
      <iconSet iconSet="3Symbols">
        <cfvo type="percent" val="0"/>
        <cfvo type="num" val="0.85"/>
        <cfvo type="num" val="0.995"/>
      </iconSet>
    </cfRule>
  </conditionalFormatting>
  <conditionalFormatting sqref="I416:I420">
    <cfRule type="iconSet" priority="226">
      <iconSet iconSet="5Arrows">
        <cfvo type="percent" val="0"/>
        <cfvo type="num" val="0.99"/>
        <cfvo type="num" val="1"/>
        <cfvo type="num" val="1" gte="0"/>
        <cfvo type="num" val="1.01"/>
      </iconSet>
    </cfRule>
  </conditionalFormatting>
  <conditionalFormatting sqref="H422:H424">
    <cfRule type="iconSet" priority="223">
      <iconSet iconSet="3Symbols">
        <cfvo type="percent" val="0"/>
        <cfvo type="num" val="0.85"/>
        <cfvo type="num" val="0.995"/>
      </iconSet>
    </cfRule>
  </conditionalFormatting>
  <conditionalFormatting sqref="I422:I424">
    <cfRule type="iconSet" priority="224">
      <iconSet iconSet="5Arrows">
        <cfvo type="percent" val="0"/>
        <cfvo type="num" val="0.99"/>
        <cfvo type="num" val="1"/>
        <cfvo type="num" val="1" gte="0"/>
        <cfvo type="num" val="1.01"/>
      </iconSet>
    </cfRule>
  </conditionalFormatting>
  <conditionalFormatting sqref="H426:H429">
    <cfRule type="iconSet" priority="221">
      <iconSet iconSet="3Symbols">
        <cfvo type="percent" val="0"/>
        <cfvo type="num" val="0.85"/>
        <cfvo type="num" val="0.995"/>
      </iconSet>
    </cfRule>
  </conditionalFormatting>
  <conditionalFormatting sqref="I427:I429">
    <cfRule type="iconSet" priority="222">
      <iconSet iconSet="5Arrows">
        <cfvo type="percent" val="0"/>
        <cfvo type="num" val="0.99"/>
        <cfvo type="num" val="1"/>
        <cfvo type="num" val="1" gte="0"/>
        <cfvo type="num" val="1.01"/>
      </iconSet>
    </cfRule>
  </conditionalFormatting>
  <conditionalFormatting sqref="H435 H431">
    <cfRule type="iconSet" priority="219">
      <iconSet iconSet="3Symbols">
        <cfvo type="percent" val="0"/>
        <cfvo type="num" val="0.85"/>
        <cfvo type="num" val="0.995"/>
      </iconSet>
    </cfRule>
  </conditionalFormatting>
  <conditionalFormatting sqref="I435 I431">
    <cfRule type="iconSet" priority="220">
      <iconSet iconSet="5Arrows">
        <cfvo type="percent" val="0"/>
        <cfvo type="num" val="0.99"/>
        <cfvo type="num" val="1"/>
        <cfvo type="num" val="1" gte="0"/>
        <cfvo type="num" val="1.01"/>
      </iconSet>
    </cfRule>
  </conditionalFormatting>
  <conditionalFormatting sqref="H437:H440">
    <cfRule type="iconSet" priority="217">
      <iconSet iconSet="3Symbols">
        <cfvo type="percent" val="0"/>
        <cfvo type="num" val="0.85"/>
        <cfvo type="num" val="0.995"/>
      </iconSet>
    </cfRule>
  </conditionalFormatting>
  <conditionalFormatting sqref="I437:I440">
    <cfRule type="iconSet" priority="218">
      <iconSet iconSet="5Arrows">
        <cfvo type="percent" val="0"/>
        <cfvo type="num" val="0.99"/>
        <cfvo type="num" val="1"/>
        <cfvo type="num" val="1" gte="0"/>
        <cfvo type="num" val="1.01"/>
      </iconSet>
    </cfRule>
  </conditionalFormatting>
  <conditionalFormatting sqref="H442:H443">
    <cfRule type="iconSet" priority="215">
      <iconSet iconSet="3Symbols">
        <cfvo type="percent" val="0"/>
        <cfvo type="num" val="0.85"/>
        <cfvo type="num" val="0.995"/>
      </iconSet>
    </cfRule>
  </conditionalFormatting>
  <conditionalFormatting sqref="I442:I443">
    <cfRule type="iconSet" priority="216">
      <iconSet iconSet="5Arrows">
        <cfvo type="percent" val="0"/>
        <cfvo type="num" val="0.99"/>
        <cfvo type="num" val="1"/>
        <cfvo type="num" val="1" gte="0"/>
        <cfvo type="num" val="1.01"/>
      </iconSet>
    </cfRule>
  </conditionalFormatting>
  <conditionalFormatting sqref="H445:H448">
    <cfRule type="iconSet" priority="213">
      <iconSet iconSet="3Symbols">
        <cfvo type="percent" val="0"/>
        <cfvo type="num" val="0.85"/>
        <cfvo type="num" val="0.995"/>
      </iconSet>
    </cfRule>
  </conditionalFormatting>
  <conditionalFormatting sqref="I445:I448">
    <cfRule type="iconSet" priority="214">
      <iconSet iconSet="5Arrows">
        <cfvo type="percent" val="0"/>
        <cfvo type="num" val="0.99"/>
        <cfvo type="num" val="1"/>
        <cfvo type="num" val="1" gte="0"/>
        <cfvo type="num" val="1.01"/>
      </iconSet>
    </cfRule>
  </conditionalFormatting>
  <conditionalFormatting sqref="H457 H450:H455">
    <cfRule type="iconSet" priority="211">
      <iconSet iconSet="3Symbols">
        <cfvo type="percent" val="0"/>
        <cfvo type="num" val="0.85"/>
        <cfvo type="num" val="0.995"/>
      </iconSet>
    </cfRule>
  </conditionalFormatting>
  <conditionalFormatting sqref="I450:I455">
    <cfRule type="iconSet" priority="212">
      <iconSet iconSet="5Arrows">
        <cfvo type="percent" val="0"/>
        <cfvo type="num" val="0.99"/>
        <cfvo type="num" val="1"/>
        <cfvo type="num" val="1" gte="0"/>
        <cfvo type="num" val="1.01"/>
      </iconSet>
    </cfRule>
  </conditionalFormatting>
  <conditionalFormatting sqref="H456">
    <cfRule type="iconSet" priority="209">
      <iconSet iconSet="3Symbols">
        <cfvo type="percent" val="0"/>
        <cfvo type="num" val="0.85"/>
        <cfvo type="num" val="0.995"/>
      </iconSet>
    </cfRule>
  </conditionalFormatting>
  <conditionalFormatting sqref="I456:I457">
    <cfRule type="iconSet" priority="210">
      <iconSet iconSet="5Arrows">
        <cfvo type="percent" val="0"/>
        <cfvo type="num" val="0.99"/>
        <cfvo type="num" val="1"/>
        <cfvo type="num" val="1" gte="0"/>
        <cfvo type="num" val="1.01"/>
      </iconSet>
    </cfRule>
  </conditionalFormatting>
  <conditionalFormatting sqref="H469:H475">
    <cfRule type="iconSet" priority="205">
      <iconSet iconSet="3Symbols">
        <cfvo type="percent" val="0"/>
        <cfvo type="num" val="0.85"/>
        <cfvo type="num" val="0.995"/>
      </iconSet>
    </cfRule>
  </conditionalFormatting>
  <conditionalFormatting sqref="I469:I475">
    <cfRule type="iconSet" priority="206">
      <iconSet iconSet="5Arrows">
        <cfvo type="percent" val="0"/>
        <cfvo type="num" val="0.99"/>
        <cfvo type="num" val="1"/>
        <cfvo type="num" val="1" gte="0"/>
        <cfvo type="num" val="1.01"/>
      </iconSet>
    </cfRule>
  </conditionalFormatting>
  <conditionalFormatting sqref="H477:H480 H486">
    <cfRule type="iconSet" priority="203">
      <iconSet iconSet="3Symbols">
        <cfvo type="percent" val="0"/>
        <cfvo type="num" val="0.85"/>
        <cfvo type="num" val="0.995"/>
      </iconSet>
    </cfRule>
  </conditionalFormatting>
  <conditionalFormatting sqref="I486 I477:I480">
    <cfRule type="iconSet" priority="204">
      <iconSet iconSet="5Arrows">
        <cfvo type="percent" val="0"/>
        <cfvo type="num" val="0.99"/>
        <cfvo type="num" val="1"/>
        <cfvo type="num" val="1" gte="0"/>
        <cfvo type="num" val="1.01"/>
      </iconSet>
    </cfRule>
  </conditionalFormatting>
  <conditionalFormatting sqref="H481">
    <cfRule type="iconSet" priority="201">
      <iconSet iconSet="3Symbols">
        <cfvo type="percent" val="0"/>
        <cfvo type="num" val="0.85"/>
        <cfvo type="num" val="0.995"/>
      </iconSet>
    </cfRule>
  </conditionalFormatting>
  <conditionalFormatting sqref="I481">
    <cfRule type="iconSet" priority="202">
      <iconSet iconSet="5Arrows">
        <cfvo type="percent" val="0"/>
        <cfvo type="num" val="0.99"/>
        <cfvo type="num" val="1"/>
        <cfvo type="num" val="1" gte="0"/>
        <cfvo type="num" val="1.01"/>
      </iconSet>
    </cfRule>
  </conditionalFormatting>
  <conditionalFormatting sqref="H482">
    <cfRule type="iconSet" priority="199">
      <iconSet iconSet="3Symbols">
        <cfvo type="percent" val="0"/>
        <cfvo type="num" val="0.85"/>
        <cfvo type="num" val="0.995"/>
      </iconSet>
    </cfRule>
  </conditionalFormatting>
  <conditionalFormatting sqref="I482">
    <cfRule type="iconSet" priority="200">
      <iconSet iconSet="5Arrows">
        <cfvo type="percent" val="0"/>
        <cfvo type="num" val="0.99"/>
        <cfvo type="num" val="1"/>
        <cfvo type="num" val="1" gte="0"/>
        <cfvo type="num" val="1.01"/>
      </iconSet>
    </cfRule>
  </conditionalFormatting>
  <conditionalFormatting sqref="H483">
    <cfRule type="iconSet" priority="197">
      <iconSet iconSet="3Symbols">
        <cfvo type="percent" val="0"/>
        <cfvo type="num" val="0.85"/>
        <cfvo type="num" val="0.995"/>
      </iconSet>
    </cfRule>
  </conditionalFormatting>
  <conditionalFormatting sqref="I483">
    <cfRule type="iconSet" priority="198">
      <iconSet iconSet="5Arrows">
        <cfvo type="percent" val="0"/>
        <cfvo type="num" val="0.99"/>
        <cfvo type="num" val="1"/>
        <cfvo type="num" val="1" gte="0"/>
        <cfvo type="num" val="1.01"/>
      </iconSet>
    </cfRule>
  </conditionalFormatting>
  <conditionalFormatting sqref="H484">
    <cfRule type="iconSet" priority="195">
      <iconSet iconSet="3Symbols">
        <cfvo type="percent" val="0"/>
        <cfvo type="num" val="0.85"/>
        <cfvo type="num" val="0.995"/>
      </iconSet>
    </cfRule>
  </conditionalFormatting>
  <conditionalFormatting sqref="I484">
    <cfRule type="iconSet" priority="196">
      <iconSet iconSet="5Arrows">
        <cfvo type="percent" val="0"/>
        <cfvo type="num" val="0.99"/>
        <cfvo type="num" val="1"/>
        <cfvo type="num" val="1" gte="0"/>
        <cfvo type="num" val="1.01"/>
      </iconSet>
    </cfRule>
  </conditionalFormatting>
  <conditionalFormatting sqref="H488:H491">
    <cfRule type="iconSet" priority="193">
      <iconSet iconSet="3Symbols">
        <cfvo type="percent" val="0"/>
        <cfvo type="num" val="0.85"/>
        <cfvo type="num" val="0.995"/>
      </iconSet>
    </cfRule>
  </conditionalFormatting>
  <conditionalFormatting sqref="I488:I491">
    <cfRule type="iconSet" priority="194">
      <iconSet iconSet="5Arrows">
        <cfvo type="percent" val="0"/>
        <cfvo type="num" val="0.99"/>
        <cfvo type="num" val="1"/>
        <cfvo type="num" val="1" gte="0"/>
        <cfvo type="num" val="1.01"/>
      </iconSet>
    </cfRule>
  </conditionalFormatting>
  <conditionalFormatting sqref="H319:I319">
    <cfRule type="iconSet" priority="189">
      <iconSet iconSet="3Symbols">
        <cfvo type="percent" val="0"/>
        <cfvo type="num" val="0.85"/>
        <cfvo type="num" val="0.995"/>
      </iconSet>
    </cfRule>
  </conditionalFormatting>
  <conditionalFormatting sqref="I319">
    <cfRule type="iconSet" priority="190">
      <iconSet iconSet="5Arrows">
        <cfvo type="percent" val="0"/>
        <cfvo type="num" val="0.99"/>
        <cfvo type="num" val="1"/>
        <cfvo type="num" val="1" gte="0"/>
        <cfvo type="num" val="1.01"/>
      </iconSet>
    </cfRule>
  </conditionalFormatting>
  <conditionalFormatting sqref="I350">
    <cfRule type="iconSet" priority="187">
      <iconSet iconSet="5Arrows">
        <cfvo type="percent" val="0"/>
        <cfvo type="num" val="0.99"/>
        <cfvo type="num" val="1"/>
        <cfvo type="num" val="1" gte="0"/>
        <cfvo type="num" val="1.01"/>
      </iconSet>
    </cfRule>
  </conditionalFormatting>
  <conditionalFormatting sqref="I350">
    <cfRule type="iconSet" priority="188">
      <iconSet iconSet="3Symbols">
        <cfvo type="percent" val="0"/>
        <cfvo type="num" val="0.85"/>
        <cfvo type="num" val="0.995"/>
      </iconSet>
    </cfRule>
  </conditionalFormatting>
  <conditionalFormatting sqref="H324:H328">
    <cfRule type="iconSet" priority="3355">
      <iconSet iconSet="3Symbols">
        <cfvo type="percent" val="0"/>
        <cfvo type="num" val="0.85"/>
        <cfvo type="num" val="0.995"/>
      </iconSet>
    </cfRule>
  </conditionalFormatting>
  <conditionalFormatting sqref="I325:I328">
    <cfRule type="iconSet" priority="3356">
      <iconSet iconSet="5Arrows">
        <cfvo type="percent" val="0"/>
        <cfvo type="num" val="0.99"/>
        <cfvo type="num" val="1"/>
        <cfvo type="num" val="1" gte="0"/>
        <cfvo type="num" val="1.01"/>
      </iconSet>
    </cfRule>
  </conditionalFormatting>
  <conditionalFormatting sqref="H339:H341">
    <cfRule type="iconSet" priority="182">
      <iconSet iconSet="3Symbols">
        <cfvo type="percent" val="0"/>
        <cfvo type="num" val="0.85"/>
        <cfvo type="num" val="0.995"/>
      </iconSet>
    </cfRule>
  </conditionalFormatting>
  <conditionalFormatting sqref="I339:I341">
    <cfRule type="iconSet" priority="183">
      <iconSet iconSet="5Arrows">
        <cfvo type="percent" val="0"/>
        <cfvo type="num" val="0.99"/>
        <cfvo type="num" val="1"/>
        <cfvo type="num" val="1" gte="0"/>
        <cfvo type="num" val="1.01"/>
      </iconSet>
    </cfRule>
  </conditionalFormatting>
  <conditionalFormatting sqref="H348:I348 I349">
    <cfRule type="iconSet" priority="180">
      <iconSet iconSet="3Symbols">
        <cfvo type="percent" val="0"/>
        <cfvo type="num" val="0.85"/>
        <cfvo type="num" val="0.995"/>
      </iconSet>
    </cfRule>
  </conditionalFormatting>
  <conditionalFormatting sqref="I348:I349">
    <cfRule type="iconSet" priority="181">
      <iconSet iconSet="5Arrows">
        <cfvo type="percent" val="0"/>
        <cfvo type="num" val="0.99"/>
        <cfvo type="num" val="1"/>
        <cfvo type="num" val="1" gte="0"/>
        <cfvo type="num" val="1.01"/>
      </iconSet>
    </cfRule>
  </conditionalFormatting>
  <conditionalFormatting sqref="H387:H397">
    <cfRule type="iconSet" priority="3614">
      <iconSet iconSet="3Symbols">
        <cfvo type="percent" val="0"/>
        <cfvo type="num" val="0.85"/>
        <cfvo type="num" val="0.995"/>
      </iconSet>
    </cfRule>
  </conditionalFormatting>
  <conditionalFormatting sqref="I387:I397">
    <cfRule type="iconSet" priority="3615">
      <iconSet iconSet="5Arrows">
        <cfvo type="percent" val="0"/>
        <cfvo type="num" val="0.99"/>
        <cfvo type="num" val="1"/>
        <cfvo type="num" val="1" gte="0"/>
        <cfvo type="num" val="1.01"/>
      </iconSet>
    </cfRule>
  </conditionalFormatting>
  <conditionalFormatting sqref="H204:H211">
    <cfRule type="iconSet" priority="3616">
      <iconSet iconSet="3Symbols">
        <cfvo type="percent" val="0"/>
        <cfvo type="num" val="0.85"/>
        <cfvo type="num" val="0.995"/>
      </iconSet>
    </cfRule>
  </conditionalFormatting>
  <conditionalFormatting sqref="I204:I211">
    <cfRule type="iconSet" priority="3617">
      <iconSet iconSet="5Arrows">
        <cfvo type="percent" val="0"/>
        <cfvo type="num" val="0.99"/>
        <cfvo type="num" val="1"/>
        <cfvo type="num" val="1" gte="0"/>
        <cfvo type="num" val="1.01"/>
      </iconSet>
    </cfRule>
  </conditionalFormatting>
  <conditionalFormatting sqref="I426">
    <cfRule type="iconSet" priority="177">
      <iconSet iconSet="5Arrows">
        <cfvo type="percent" val="0"/>
        <cfvo type="num" val="0.99"/>
        <cfvo type="num" val="1"/>
        <cfvo type="num" val="1" gte="0"/>
        <cfvo type="num" val="1.01"/>
      </iconSet>
    </cfRule>
  </conditionalFormatting>
  <conditionalFormatting sqref="H434">
    <cfRule type="iconSet" priority="175">
      <iconSet iconSet="3Symbols">
        <cfvo type="percent" val="0"/>
        <cfvo type="num" val="0.85"/>
        <cfvo type="num" val="0.995"/>
      </iconSet>
    </cfRule>
  </conditionalFormatting>
  <conditionalFormatting sqref="I434">
    <cfRule type="iconSet" priority="176">
      <iconSet iconSet="5Arrows">
        <cfvo type="percent" val="0"/>
        <cfvo type="num" val="0.99"/>
        <cfvo type="num" val="1"/>
        <cfvo type="num" val="1" gte="0"/>
        <cfvo type="num" val="1.01"/>
      </iconSet>
    </cfRule>
  </conditionalFormatting>
  <conditionalFormatting sqref="H432:H433">
    <cfRule type="iconSet" priority="173">
      <iconSet iconSet="3Symbols">
        <cfvo type="percent" val="0"/>
        <cfvo type="num" val="0.85"/>
        <cfvo type="num" val="0.995"/>
      </iconSet>
    </cfRule>
  </conditionalFormatting>
  <conditionalFormatting sqref="I432:I433">
    <cfRule type="iconSet" priority="174">
      <iconSet iconSet="5Arrows">
        <cfvo type="percent" val="0"/>
        <cfvo type="num" val="0.99"/>
        <cfvo type="num" val="1"/>
        <cfvo type="num" val="1" gte="0"/>
        <cfvo type="num" val="1.01"/>
      </iconSet>
    </cfRule>
  </conditionalFormatting>
  <conditionalFormatting sqref="I274:I276">
    <cfRule type="iconSet" priority="172">
      <iconSet iconSet="5Arrows">
        <cfvo type="percent" val="0"/>
        <cfvo type="num" val="0.99"/>
        <cfvo type="num" val="1"/>
        <cfvo type="num" val="1" gte="0"/>
        <cfvo type="num" val="1.01"/>
      </iconSet>
    </cfRule>
  </conditionalFormatting>
  <conditionalFormatting sqref="H485">
    <cfRule type="iconSet" priority="170">
      <iconSet iconSet="3Symbols">
        <cfvo type="percent" val="0"/>
        <cfvo type="num" val="0.85"/>
        <cfvo type="num" val="0.995"/>
      </iconSet>
    </cfRule>
  </conditionalFormatting>
  <conditionalFormatting sqref="I485">
    <cfRule type="iconSet" priority="171">
      <iconSet iconSet="5Arrows">
        <cfvo type="percent" val="0"/>
        <cfvo type="num" val="0.99"/>
        <cfvo type="num" val="1"/>
        <cfvo type="num" val="1" gte="0"/>
        <cfvo type="num" val="1.01"/>
      </iconSet>
    </cfRule>
  </conditionalFormatting>
  <conditionalFormatting sqref="H493:H494">
    <cfRule type="iconSet" priority="168">
      <iconSet iconSet="3Symbols">
        <cfvo type="percent" val="0"/>
        <cfvo type="num" val="0.85"/>
        <cfvo type="num" val="0.995"/>
      </iconSet>
    </cfRule>
  </conditionalFormatting>
  <conditionalFormatting sqref="I493:I494">
    <cfRule type="iconSet" priority="169">
      <iconSet iconSet="5Arrows">
        <cfvo type="percent" val="0"/>
        <cfvo type="num" val="0.99"/>
        <cfvo type="num" val="1"/>
        <cfvo type="num" val="1" gte="0"/>
        <cfvo type="num" val="1.01"/>
      </iconSet>
    </cfRule>
  </conditionalFormatting>
  <conditionalFormatting sqref="H122">
    <cfRule type="iconSet" priority="166">
      <iconSet iconSet="3Symbols">
        <cfvo type="percent" val="0"/>
        <cfvo type="num" val="0.85"/>
        <cfvo type="num" val="0.995"/>
      </iconSet>
    </cfRule>
  </conditionalFormatting>
  <conditionalFormatting sqref="I122">
    <cfRule type="iconSet" priority="167">
      <iconSet iconSet="5Arrows">
        <cfvo type="percent" val="0"/>
        <cfvo type="num" val="0.99"/>
        <cfvo type="num" val="1"/>
        <cfvo type="num" val="1" gte="0"/>
        <cfvo type="num" val="1.01"/>
      </iconSet>
    </cfRule>
  </conditionalFormatting>
  <conditionalFormatting sqref="H140">
    <cfRule type="iconSet" priority="164">
      <iconSet iconSet="3Symbols">
        <cfvo type="percent" val="0"/>
        <cfvo type="num" val="0.85"/>
        <cfvo type="num" val="0.995"/>
      </iconSet>
    </cfRule>
  </conditionalFormatting>
  <conditionalFormatting sqref="I140:I141">
    <cfRule type="iconSet" priority="165">
      <iconSet iconSet="5Arrows">
        <cfvo type="percent" val="0"/>
        <cfvo type="num" val="0.99"/>
        <cfvo type="num" val="1"/>
        <cfvo type="num" val="1" gte="0"/>
        <cfvo type="num" val="1.01"/>
      </iconSet>
    </cfRule>
  </conditionalFormatting>
  <conditionalFormatting sqref="H164">
    <cfRule type="iconSet" priority="160">
      <iconSet iconSet="3Symbols">
        <cfvo type="percent" val="0"/>
        <cfvo type="num" val="0.85"/>
        <cfvo type="num" val="0.995"/>
      </iconSet>
    </cfRule>
  </conditionalFormatting>
  <conditionalFormatting sqref="H165">
    <cfRule type="iconSet" priority="158">
      <iconSet iconSet="3Symbols">
        <cfvo type="percent" val="0"/>
        <cfvo type="num" val="0.85"/>
        <cfvo type="num" val="0.995"/>
      </iconSet>
    </cfRule>
  </conditionalFormatting>
  <conditionalFormatting sqref="H166">
    <cfRule type="iconSet" priority="156">
      <iconSet iconSet="3Symbols">
        <cfvo type="percent" val="0"/>
        <cfvo type="num" val="0.85"/>
        <cfvo type="num" val="0.995"/>
      </iconSet>
    </cfRule>
  </conditionalFormatting>
  <conditionalFormatting sqref="I166">
    <cfRule type="iconSet" priority="157">
      <iconSet iconSet="5Arrows">
        <cfvo type="percent" val="0"/>
        <cfvo type="num" val="0.99"/>
        <cfvo type="num" val="1"/>
        <cfvo type="num" val="1" gte="0"/>
        <cfvo type="num" val="1.01"/>
      </iconSet>
    </cfRule>
  </conditionalFormatting>
  <conditionalFormatting sqref="H167">
    <cfRule type="iconSet" priority="154">
      <iconSet iconSet="3Symbols">
        <cfvo type="percent" val="0"/>
        <cfvo type="num" val="0.85"/>
        <cfvo type="num" val="0.995"/>
      </iconSet>
    </cfRule>
  </conditionalFormatting>
  <conditionalFormatting sqref="I167:I168">
    <cfRule type="iconSet" priority="155">
      <iconSet iconSet="5Arrows">
        <cfvo type="percent" val="0"/>
        <cfvo type="num" val="0.99"/>
        <cfvo type="num" val="1"/>
        <cfvo type="num" val="1" gte="0"/>
        <cfvo type="num" val="1.01"/>
      </iconSet>
    </cfRule>
  </conditionalFormatting>
  <conditionalFormatting sqref="H171:H175">
    <cfRule type="iconSet" priority="3744">
      <iconSet iconSet="3Symbols">
        <cfvo type="percent" val="0"/>
        <cfvo type="num" val="0.85"/>
        <cfvo type="num" val="0.995"/>
      </iconSet>
    </cfRule>
  </conditionalFormatting>
  <conditionalFormatting sqref="I171:I175">
    <cfRule type="iconSet" priority="3745">
      <iconSet iconSet="5Arrows">
        <cfvo type="percent" val="0"/>
        <cfvo type="num" val="0.99"/>
        <cfvo type="num" val="1"/>
        <cfvo type="num" val="1" gte="0"/>
        <cfvo type="num" val="1.01"/>
      </iconSet>
    </cfRule>
  </conditionalFormatting>
  <conditionalFormatting sqref="H186 H181:H184 H188">
    <cfRule type="iconSet" priority="3872">
      <iconSet iconSet="3Symbols">
        <cfvo type="percent" val="0"/>
        <cfvo type="num" val="0.85"/>
        <cfvo type="num" val="0.995"/>
      </iconSet>
    </cfRule>
  </conditionalFormatting>
  <conditionalFormatting sqref="I181:I184 I186:I188">
    <cfRule type="iconSet" priority="3874">
      <iconSet iconSet="5Arrows">
        <cfvo type="percent" val="0"/>
        <cfvo type="num" val="0.99"/>
        <cfvo type="num" val="1"/>
        <cfvo type="num" val="1" gte="0"/>
        <cfvo type="num" val="1.01"/>
      </iconSet>
    </cfRule>
  </conditionalFormatting>
  <conditionalFormatting sqref="H357:H365">
    <cfRule type="iconSet" priority="4001">
      <iconSet iconSet="3Symbols">
        <cfvo type="percent" val="0"/>
        <cfvo type="num" val="0.85"/>
        <cfvo type="num" val="0.995"/>
      </iconSet>
    </cfRule>
  </conditionalFormatting>
  <conditionalFormatting sqref="I357:I365">
    <cfRule type="iconSet" priority="4002">
      <iconSet iconSet="5Arrows">
        <cfvo type="percent" val="0"/>
        <cfvo type="num" val="0.99"/>
        <cfvo type="num" val="1"/>
        <cfvo type="num" val="1" gte="0"/>
        <cfvo type="num" val="1.01"/>
      </iconSet>
    </cfRule>
  </conditionalFormatting>
  <conditionalFormatting sqref="H372">
    <cfRule type="iconSet" priority="152">
      <iconSet iconSet="3Symbols">
        <cfvo type="percent" val="0"/>
        <cfvo type="num" val="0.85"/>
        <cfvo type="num" val="0.995"/>
      </iconSet>
    </cfRule>
  </conditionalFormatting>
  <conditionalFormatting sqref="I372">
    <cfRule type="iconSet" priority="153">
      <iconSet iconSet="5Arrows">
        <cfvo type="percent" val="0"/>
        <cfvo type="num" val="0.99"/>
        <cfvo type="num" val="1"/>
        <cfvo type="num" val="1" gte="0"/>
        <cfvo type="num" val="1.01"/>
      </iconSet>
    </cfRule>
  </conditionalFormatting>
  <conditionalFormatting sqref="H375:H376 H378">
    <cfRule type="iconSet" priority="4129">
      <iconSet iconSet="3Symbols">
        <cfvo type="percent" val="0"/>
        <cfvo type="num" val="0.85"/>
        <cfvo type="num" val="0.995"/>
      </iconSet>
    </cfRule>
  </conditionalFormatting>
  <conditionalFormatting sqref="I375:I376">
    <cfRule type="iconSet" priority="4130">
      <iconSet iconSet="5Arrows">
        <cfvo type="percent" val="0"/>
        <cfvo type="num" val="0.99"/>
        <cfvo type="num" val="1"/>
        <cfvo type="num" val="1" gte="0"/>
        <cfvo type="num" val="1.01"/>
      </iconSet>
    </cfRule>
  </conditionalFormatting>
  <conditionalFormatting sqref="H377">
    <cfRule type="iconSet" priority="150">
      <iconSet iconSet="3Symbols">
        <cfvo type="percent" val="0"/>
        <cfvo type="num" val="0.85"/>
        <cfvo type="num" val="0.995"/>
      </iconSet>
    </cfRule>
  </conditionalFormatting>
  <conditionalFormatting sqref="I377:I378">
    <cfRule type="iconSet" priority="151">
      <iconSet iconSet="5Arrows">
        <cfvo type="percent" val="0"/>
        <cfvo type="num" val="0.99"/>
        <cfvo type="num" val="1"/>
        <cfvo type="num" val="1" gte="0"/>
        <cfvo type="num" val="1.01"/>
      </iconSet>
    </cfRule>
  </conditionalFormatting>
  <conditionalFormatting sqref="H379">
    <cfRule type="iconSet" priority="148">
      <iconSet iconSet="3Symbols">
        <cfvo type="percent" val="0"/>
        <cfvo type="num" val="0.85"/>
        <cfvo type="num" val="0.995"/>
      </iconSet>
    </cfRule>
  </conditionalFormatting>
  <conditionalFormatting sqref="I379">
    <cfRule type="iconSet" priority="149">
      <iconSet iconSet="5Arrows">
        <cfvo type="percent" val="0"/>
        <cfvo type="num" val="0.99"/>
        <cfvo type="num" val="1"/>
        <cfvo type="num" val="1" gte="0"/>
        <cfvo type="num" val="1.01"/>
      </iconSet>
    </cfRule>
  </conditionalFormatting>
  <conditionalFormatting sqref="H380">
    <cfRule type="iconSet" priority="146">
      <iconSet iconSet="3Symbols">
        <cfvo type="percent" val="0"/>
        <cfvo type="num" val="0.85"/>
        <cfvo type="num" val="0.995"/>
      </iconSet>
    </cfRule>
  </conditionalFormatting>
  <conditionalFormatting sqref="I380">
    <cfRule type="iconSet" priority="147">
      <iconSet iconSet="5Arrows">
        <cfvo type="percent" val="0"/>
        <cfvo type="num" val="0.99"/>
        <cfvo type="num" val="1"/>
        <cfvo type="num" val="1" gte="0"/>
        <cfvo type="num" val="1.01"/>
      </iconSet>
    </cfRule>
  </conditionalFormatting>
  <conditionalFormatting sqref="I293:I297">
    <cfRule type="iconSet" priority="4257">
      <iconSet iconSet="5Arrows">
        <cfvo type="percent" val="0"/>
        <cfvo type="num" val="0.99"/>
        <cfvo type="num" val="1"/>
        <cfvo type="num" val="1" gte="0"/>
        <cfvo type="num" val="1.01"/>
      </iconSet>
    </cfRule>
  </conditionalFormatting>
  <conditionalFormatting sqref="H293:H297">
    <cfRule type="iconSet" priority="4258">
      <iconSet iconSet="3Symbols">
        <cfvo type="percent" val="0"/>
        <cfvo type="num" val="0.85"/>
        <cfvo type="num" val="0.995"/>
      </iconSet>
    </cfRule>
  </conditionalFormatting>
  <conditionalFormatting sqref="I305">
    <cfRule type="iconSet" priority="142">
      <iconSet iconSet="5Arrows">
        <cfvo type="percent" val="0"/>
        <cfvo type="num" val="0.99"/>
        <cfvo type="num" val="1"/>
        <cfvo type="num" val="1" gte="0"/>
        <cfvo type="num" val="1.01"/>
      </iconSet>
    </cfRule>
  </conditionalFormatting>
  <conditionalFormatting sqref="I305">
    <cfRule type="iconSet" priority="140">
      <iconSet iconSet="5Arrows">
        <cfvo type="percent" val="0"/>
        <cfvo type="num" val="0.99"/>
        <cfvo type="num" val="1"/>
        <cfvo type="num" val="1" gte="0"/>
        <cfvo type="num" val="1.01"/>
      </iconSet>
    </cfRule>
  </conditionalFormatting>
  <conditionalFormatting sqref="I305">
    <cfRule type="iconSet" priority="144">
      <iconSet iconSet="5Arrows">
        <cfvo type="percent" val="0"/>
        <cfvo type="num" val="0.99"/>
        <cfvo type="num" val="1"/>
        <cfvo type="num" val="1" gte="0"/>
        <cfvo type="num" val="1.01"/>
      </iconSet>
    </cfRule>
  </conditionalFormatting>
  <conditionalFormatting sqref="I317:I318">
    <cfRule type="iconSet" priority="119">
      <iconSet iconSet="5Arrows">
        <cfvo type="percent" val="0"/>
        <cfvo type="num" val="0.99"/>
        <cfvo type="num" val="1"/>
        <cfvo type="num" val="1" gte="0"/>
        <cfvo type="num" val="1.01"/>
      </iconSet>
    </cfRule>
  </conditionalFormatting>
  <conditionalFormatting sqref="H317">
    <cfRule type="iconSet" priority="118">
      <iconSet iconSet="3Symbols">
        <cfvo type="percent" val="0"/>
        <cfvo type="num" val="0.85"/>
        <cfvo type="num" val="0.995"/>
      </iconSet>
    </cfRule>
  </conditionalFormatting>
  <conditionalFormatting sqref="H317">
    <cfRule type="iconSet" priority="120">
      <iconSet iconSet="3Symbols">
        <cfvo type="percent" val="0"/>
        <cfvo type="num" val="0.85"/>
        <cfvo type="num" val="0.995"/>
      </iconSet>
    </cfRule>
  </conditionalFormatting>
  <conditionalFormatting sqref="I317:I318">
    <cfRule type="iconSet" priority="121">
      <iconSet iconSet="5Arrows">
        <cfvo type="percent" val="0"/>
        <cfvo type="num" val="0.99"/>
        <cfvo type="num" val="1"/>
        <cfvo type="num" val="1" gte="0"/>
        <cfvo type="num" val="1.01"/>
      </iconSet>
    </cfRule>
  </conditionalFormatting>
  <conditionalFormatting sqref="H17:H24">
    <cfRule type="iconSet" priority="4385">
      <iconSet iconSet="3Symbols">
        <cfvo type="percent" val="0"/>
        <cfvo type="num" val="0.85"/>
        <cfvo type="num" val="0.995"/>
      </iconSet>
    </cfRule>
  </conditionalFormatting>
  <conditionalFormatting sqref="I17:I24">
    <cfRule type="iconSet" priority="4387">
      <iconSet iconSet="5Arrows">
        <cfvo type="percent" val="0"/>
        <cfvo type="num" val="0.99"/>
        <cfvo type="num" val="1"/>
        <cfvo type="num" val="1" gte="0"/>
        <cfvo type="num" val="1.01"/>
      </iconSet>
    </cfRule>
  </conditionalFormatting>
  <conditionalFormatting sqref="H53:H55">
    <cfRule type="iconSet" priority="117">
      <iconSet iconSet="3Symbols">
        <cfvo type="percent" val="0"/>
        <cfvo type="num" val="0.85"/>
        <cfvo type="num" val="0.995"/>
      </iconSet>
    </cfRule>
  </conditionalFormatting>
  <conditionalFormatting sqref="H77">
    <cfRule type="iconSet" priority="115">
      <iconSet iconSet="3Symbols">
        <cfvo type="percent" val="0"/>
        <cfvo type="num" val="0.85"/>
        <cfvo type="num" val="0.995"/>
      </iconSet>
    </cfRule>
  </conditionalFormatting>
  <conditionalFormatting sqref="H78">
    <cfRule type="iconSet" priority="113">
      <iconSet iconSet="3Symbols">
        <cfvo type="percent" val="0"/>
        <cfvo type="num" val="0.85"/>
        <cfvo type="num" val="0.995"/>
      </iconSet>
    </cfRule>
  </conditionalFormatting>
  <conditionalFormatting sqref="H89">
    <cfRule type="iconSet" priority="111">
      <iconSet iconSet="3Symbols">
        <cfvo type="percent" val="0"/>
        <cfvo type="num" val="0.85"/>
        <cfvo type="num" val="0.995"/>
      </iconSet>
    </cfRule>
  </conditionalFormatting>
  <conditionalFormatting sqref="I89:I90">
    <cfRule type="iconSet" priority="112">
      <iconSet iconSet="5Arrows">
        <cfvo type="percent" val="0"/>
        <cfvo type="num" val="0.99"/>
        <cfvo type="num" val="1"/>
        <cfvo type="num" val="1" gte="0"/>
        <cfvo type="num" val="1.01"/>
      </iconSet>
    </cfRule>
  </conditionalFormatting>
  <conditionalFormatting sqref="H96">
    <cfRule type="iconSet" priority="107">
      <iconSet iconSet="3Symbols">
        <cfvo type="percent" val="0"/>
        <cfvo type="num" val="0.85"/>
        <cfvo type="num" val="0.995"/>
      </iconSet>
    </cfRule>
  </conditionalFormatting>
  <conditionalFormatting sqref="H97">
    <cfRule type="iconSet" priority="105">
      <iconSet iconSet="3Symbols">
        <cfvo type="percent" val="0"/>
        <cfvo type="num" val="0.85"/>
        <cfvo type="num" val="0.995"/>
      </iconSet>
    </cfRule>
  </conditionalFormatting>
  <conditionalFormatting sqref="H107">
    <cfRule type="iconSet" priority="103">
      <iconSet iconSet="3Symbols">
        <cfvo type="percent" val="0"/>
        <cfvo type="num" val="0.85"/>
        <cfvo type="num" val="0.995"/>
      </iconSet>
    </cfRule>
  </conditionalFormatting>
  <conditionalFormatting sqref="H111">
    <cfRule type="iconSet" priority="101">
      <iconSet iconSet="3Symbols">
        <cfvo type="percent" val="0"/>
        <cfvo type="num" val="0.85"/>
        <cfvo type="num" val="0.995"/>
      </iconSet>
    </cfRule>
  </conditionalFormatting>
  <conditionalFormatting sqref="I111">
    <cfRule type="iconSet" priority="102">
      <iconSet iconSet="5Arrows">
        <cfvo type="percent" val="0"/>
        <cfvo type="num" val="0.99"/>
        <cfvo type="num" val="1"/>
        <cfvo type="num" val="1" gte="0"/>
        <cfvo type="num" val="1.01"/>
      </iconSet>
    </cfRule>
  </conditionalFormatting>
  <conditionalFormatting sqref="H149">
    <cfRule type="iconSet" priority="97">
      <iconSet iconSet="3Symbols">
        <cfvo type="percent" val="0"/>
        <cfvo type="num" val="0.85"/>
        <cfvo type="num" val="0.995"/>
      </iconSet>
    </cfRule>
  </conditionalFormatting>
  <conditionalFormatting sqref="I149:I151">
    <cfRule type="iconSet" priority="98">
      <iconSet iconSet="5Arrows">
        <cfvo type="percent" val="0"/>
        <cfvo type="num" val="0.99"/>
        <cfvo type="num" val="1"/>
        <cfvo type="num" val="1" gte="0"/>
        <cfvo type="num" val="1.01"/>
      </iconSet>
    </cfRule>
  </conditionalFormatting>
  <conditionalFormatting sqref="H150">
    <cfRule type="iconSet" priority="95">
      <iconSet iconSet="3Symbols">
        <cfvo type="percent" val="0"/>
        <cfvo type="num" val="0.85"/>
        <cfvo type="num" val="0.995"/>
      </iconSet>
    </cfRule>
  </conditionalFormatting>
  <conditionalFormatting sqref="H219">
    <cfRule type="iconSet" priority="92">
      <iconSet iconSet="5Arrows">
        <cfvo type="percent" val="0"/>
        <cfvo type="num" val="0.99"/>
        <cfvo type="num" val="1"/>
        <cfvo type="num" val="1" gte="0"/>
        <cfvo type="num" val="1.01"/>
      </iconSet>
    </cfRule>
  </conditionalFormatting>
  <conditionalFormatting sqref="H219">
    <cfRule type="iconSet" priority="93">
      <iconSet iconSet="3Symbols">
        <cfvo type="percent" val="0"/>
        <cfvo type="num" val="0.85"/>
        <cfvo type="num" val="0.995"/>
      </iconSet>
    </cfRule>
  </conditionalFormatting>
  <conditionalFormatting sqref="H220">
    <cfRule type="iconSet" priority="89">
      <iconSet iconSet="5Arrows">
        <cfvo type="percent" val="0"/>
        <cfvo type="num" val="0.99"/>
        <cfvo type="num" val="1"/>
        <cfvo type="num" val="1" gte="0"/>
        <cfvo type="num" val="1.01"/>
      </iconSet>
    </cfRule>
  </conditionalFormatting>
  <conditionalFormatting sqref="H220">
    <cfRule type="iconSet" priority="90">
      <iconSet iconSet="3Symbols">
        <cfvo type="percent" val="0"/>
        <cfvo type="num" val="0.85"/>
        <cfvo type="num" val="0.995"/>
      </iconSet>
    </cfRule>
  </conditionalFormatting>
  <conditionalFormatting sqref="I220:I222">
    <cfRule type="iconSet" priority="91">
      <iconSet iconSet="5Arrows">
        <cfvo type="percent" val="0"/>
        <cfvo type="num" val="0.99"/>
        <cfvo type="num" val="1"/>
        <cfvo type="num" val="1" gte="0"/>
        <cfvo type="num" val="1.01"/>
      </iconSet>
    </cfRule>
  </conditionalFormatting>
  <conditionalFormatting sqref="H221">
    <cfRule type="iconSet" priority="86">
      <iconSet iconSet="5Arrows">
        <cfvo type="percent" val="0"/>
        <cfvo type="num" val="0.99"/>
        <cfvo type="num" val="1"/>
        <cfvo type="num" val="1" gte="0"/>
        <cfvo type="num" val="1.01"/>
      </iconSet>
    </cfRule>
  </conditionalFormatting>
  <conditionalFormatting sqref="H221">
    <cfRule type="iconSet" priority="87">
      <iconSet iconSet="3Symbols">
        <cfvo type="percent" val="0"/>
        <cfvo type="num" val="0.85"/>
        <cfvo type="num" val="0.995"/>
      </iconSet>
    </cfRule>
  </conditionalFormatting>
  <conditionalFormatting sqref="H218">
    <cfRule type="iconSet" priority="83">
      <iconSet iconSet="5Arrows">
        <cfvo type="percent" val="0"/>
        <cfvo type="num" val="0.99"/>
        <cfvo type="num" val="1"/>
        <cfvo type="num" val="1" gte="0"/>
        <cfvo type="num" val="1.01"/>
      </iconSet>
    </cfRule>
  </conditionalFormatting>
  <conditionalFormatting sqref="H218">
    <cfRule type="iconSet" priority="84">
      <iconSet iconSet="3Symbols">
        <cfvo type="percent" val="0"/>
        <cfvo type="num" val="0.85"/>
        <cfvo type="num" val="0.995"/>
      </iconSet>
    </cfRule>
  </conditionalFormatting>
  <conditionalFormatting sqref="H224:H229">
    <cfRule type="iconSet" priority="4512">
      <iconSet iconSet="3Symbols">
        <cfvo type="percent" val="0"/>
        <cfvo type="num" val="0.85"/>
        <cfvo type="num" val="0.995"/>
      </iconSet>
    </cfRule>
  </conditionalFormatting>
  <conditionalFormatting sqref="I224:I229">
    <cfRule type="iconSet" priority="4514">
      <iconSet iconSet="5Arrows">
        <cfvo type="percent" val="0"/>
        <cfvo type="num" val="0.99"/>
        <cfvo type="num" val="1"/>
        <cfvo type="num" val="1" gte="0"/>
        <cfvo type="num" val="1.01"/>
      </iconSet>
    </cfRule>
  </conditionalFormatting>
  <conditionalFormatting sqref="H224:H229">
    <cfRule type="iconSet" priority="4516">
      <iconSet iconSet="5Arrows">
        <cfvo type="percent" val="0"/>
        <cfvo type="num" val="0.99"/>
        <cfvo type="num" val="1"/>
        <cfvo type="num" val="1" gte="0"/>
        <cfvo type="num" val="1.01"/>
      </iconSet>
    </cfRule>
  </conditionalFormatting>
  <conditionalFormatting sqref="H230:H231">
    <cfRule type="iconSet" priority="78">
      <iconSet iconSet="3Symbols">
        <cfvo type="percent" val="0"/>
        <cfvo type="num" val="0.85"/>
        <cfvo type="num" val="0.995"/>
      </iconSet>
    </cfRule>
  </conditionalFormatting>
  <conditionalFormatting sqref="I230:I234">
    <cfRule type="iconSet" priority="79">
      <iconSet iconSet="5Arrows">
        <cfvo type="percent" val="0"/>
        <cfvo type="num" val="0.99"/>
        <cfvo type="num" val="1"/>
        <cfvo type="num" val="1" gte="0"/>
        <cfvo type="num" val="1.01"/>
      </iconSet>
    </cfRule>
  </conditionalFormatting>
  <conditionalFormatting sqref="H230:H231">
    <cfRule type="iconSet" priority="80">
      <iconSet iconSet="5Arrows">
        <cfvo type="percent" val="0"/>
        <cfvo type="num" val="0.99"/>
        <cfvo type="num" val="1"/>
        <cfvo type="num" val="1" gte="0"/>
        <cfvo type="num" val="1.01"/>
      </iconSet>
    </cfRule>
  </conditionalFormatting>
  <conditionalFormatting sqref="H240">
    <cfRule type="iconSet" priority="71">
      <iconSet iconSet="5Arrows">
        <cfvo type="percent" val="0"/>
        <cfvo type="num" val="0.99"/>
        <cfvo type="num" val="1"/>
        <cfvo type="num" val="1" gte="0"/>
        <cfvo type="num" val="1.01"/>
      </iconSet>
    </cfRule>
  </conditionalFormatting>
  <conditionalFormatting sqref="H240">
    <cfRule type="iconSet" priority="70">
      <iconSet iconSet="5Arrows">
        <cfvo type="percent" val="0"/>
        <cfvo type="num" val="0.99"/>
        <cfvo type="num" val="1"/>
        <cfvo type="num" val="1" gte="0"/>
        <cfvo type="num" val="1.01"/>
      </iconSet>
    </cfRule>
  </conditionalFormatting>
  <conditionalFormatting sqref="H240">
    <cfRule type="iconSet" priority="72">
      <iconSet iconSet="3Symbols">
        <cfvo type="percent" val="0"/>
        <cfvo type="num" val="0.85"/>
        <cfvo type="num" val="0.995"/>
      </iconSet>
    </cfRule>
  </conditionalFormatting>
  <conditionalFormatting sqref="H238">
    <cfRule type="iconSet" priority="67">
      <iconSet iconSet="5Arrows">
        <cfvo type="percent" val="0"/>
        <cfvo type="num" val="0.99"/>
        <cfvo type="num" val="1"/>
        <cfvo type="num" val="1" gte="0"/>
        <cfvo type="num" val="1.01"/>
      </iconSet>
    </cfRule>
  </conditionalFormatting>
  <conditionalFormatting sqref="H238">
    <cfRule type="iconSet" priority="66">
      <iconSet iconSet="5Arrows">
        <cfvo type="percent" val="0"/>
        <cfvo type="num" val="0.99"/>
        <cfvo type="num" val="1"/>
        <cfvo type="num" val="1" gte="0"/>
        <cfvo type="num" val="1.01"/>
      </iconSet>
    </cfRule>
  </conditionalFormatting>
  <conditionalFormatting sqref="H238">
    <cfRule type="iconSet" priority="68">
      <iconSet iconSet="3Symbols">
        <cfvo type="percent" val="0"/>
        <cfvo type="num" val="0.85"/>
        <cfvo type="num" val="0.995"/>
      </iconSet>
    </cfRule>
  </conditionalFormatting>
  <conditionalFormatting sqref="H243:H244">
    <cfRule type="iconSet" priority="4641">
      <iconSet iconSet="5Arrows">
        <cfvo type="percent" val="0"/>
        <cfvo type="num" val="0.99"/>
        <cfvo type="num" val="1"/>
        <cfvo type="num" val="1" gte="0"/>
        <cfvo type="num" val="1.01"/>
      </iconSet>
    </cfRule>
  </conditionalFormatting>
  <conditionalFormatting sqref="H246">
    <cfRule type="iconSet" priority="63">
      <iconSet iconSet="5Arrows">
        <cfvo type="percent" val="0"/>
        <cfvo type="num" val="0.99"/>
        <cfvo type="num" val="1"/>
        <cfvo type="num" val="1" gte="0"/>
        <cfvo type="num" val="1.01"/>
      </iconSet>
    </cfRule>
  </conditionalFormatting>
  <conditionalFormatting sqref="H246">
    <cfRule type="iconSet" priority="64">
      <iconSet iconSet="3Symbols">
        <cfvo type="percent" val="0"/>
        <cfvo type="num" val="0.85"/>
        <cfvo type="num" val="0.995"/>
      </iconSet>
    </cfRule>
  </conditionalFormatting>
  <conditionalFormatting sqref="I246">
    <cfRule type="iconSet" priority="65">
      <iconSet iconSet="5Arrows">
        <cfvo type="percent" val="0"/>
        <cfvo type="num" val="0.99"/>
        <cfvo type="num" val="1"/>
        <cfvo type="num" val="1" gte="0"/>
        <cfvo type="num" val="1.01"/>
      </iconSet>
    </cfRule>
  </conditionalFormatting>
  <conditionalFormatting sqref="H253">
    <cfRule type="iconSet" priority="60">
      <iconSet iconSet="5Arrows">
        <cfvo type="percent" val="0"/>
        <cfvo type="num" val="0.99"/>
        <cfvo type="num" val="1"/>
        <cfvo type="num" val="1" gte="0"/>
        <cfvo type="num" val="1.01"/>
      </iconSet>
    </cfRule>
  </conditionalFormatting>
  <conditionalFormatting sqref="H253">
    <cfRule type="iconSet" priority="61">
      <iconSet iconSet="3Symbols">
        <cfvo type="percent" val="0"/>
        <cfvo type="num" val="0.85"/>
        <cfvo type="num" val="0.995"/>
      </iconSet>
    </cfRule>
  </conditionalFormatting>
  <conditionalFormatting sqref="I253">
    <cfRule type="iconSet" priority="62">
      <iconSet iconSet="5Arrows">
        <cfvo type="percent" val="0"/>
        <cfvo type="num" val="0.99"/>
        <cfvo type="num" val="1"/>
        <cfvo type="num" val="1" gte="0"/>
        <cfvo type="num" val="1.01"/>
      </iconSet>
    </cfRule>
  </conditionalFormatting>
  <conditionalFormatting sqref="H254">
    <cfRule type="iconSet" priority="57">
      <iconSet iconSet="5Arrows">
        <cfvo type="percent" val="0"/>
        <cfvo type="num" val="0.99"/>
        <cfvo type="num" val="1"/>
        <cfvo type="num" val="1" gte="0"/>
        <cfvo type="num" val="1.01"/>
      </iconSet>
    </cfRule>
  </conditionalFormatting>
  <conditionalFormatting sqref="H254">
    <cfRule type="iconSet" priority="58">
      <iconSet iconSet="3Symbols">
        <cfvo type="percent" val="0"/>
        <cfvo type="num" val="0.85"/>
        <cfvo type="num" val="0.995"/>
      </iconSet>
    </cfRule>
  </conditionalFormatting>
  <conditionalFormatting sqref="I254">
    <cfRule type="iconSet" priority="59">
      <iconSet iconSet="5Arrows">
        <cfvo type="percent" val="0"/>
        <cfvo type="num" val="0.99"/>
        <cfvo type="num" val="1"/>
        <cfvo type="num" val="1" gte="0"/>
        <cfvo type="num" val="1.01"/>
      </iconSet>
    </cfRule>
  </conditionalFormatting>
  <conditionalFormatting sqref="H195:H198">
    <cfRule type="iconSet" priority="4769">
      <iconSet iconSet="3Symbols">
        <cfvo type="percent" val="0"/>
        <cfvo type="num" val="0.85"/>
        <cfvo type="num" val="0.995"/>
      </iconSet>
    </cfRule>
  </conditionalFormatting>
  <conditionalFormatting sqref="I195:I198">
    <cfRule type="iconSet" priority="4770">
      <iconSet iconSet="5Arrows">
        <cfvo type="percent" val="0"/>
        <cfvo type="num" val="0.99"/>
        <cfvo type="num" val="1"/>
        <cfvo type="num" val="1" gte="0"/>
        <cfvo type="num" val="1.01"/>
      </iconSet>
    </cfRule>
  </conditionalFormatting>
  <conditionalFormatting sqref="H271:H272">
    <cfRule type="iconSet" priority="5036">
      <iconSet iconSet="3Symbols">
        <cfvo type="percent" val="0"/>
        <cfvo type="num" val="0.85"/>
        <cfvo type="num" val="0.995"/>
      </iconSet>
    </cfRule>
  </conditionalFormatting>
  <conditionalFormatting sqref="I271:I272">
    <cfRule type="iconSet" priority="5037">
      <iconSet iconSet="5Arrows">
        <cfvo type="percent" val="0"/>
        <cfvo type="num" val="0.99"/>
        <cfvo type="num" val="1"/>
        <cfvo type="num" val="1" gte="0"/>
        <cfvo type="num" val="1.01"/>
      </iconSet>
    </cfRule>
  </conditionalFormatting>
  <conditionalFormatting sqref="H459:H467">
    <cfRule type="iconSet" priority="5162">
      <iconSet iconSet="3Symbols">
        <cfvo type="percent" val="0"/>
        <cfvo type="num" val="0.85"/>
        <cfvo type="num" val="0.995"/>
      </iconSet>
    </cfRule>
  </conditionalFormatting>
  <conditionalFormatting sqref="I459:I467">
    <cfRule type="iconSet" priority="5164">
      <iconSet iconSet="5Arrows">
        <cfvo type="percent" val="0"/>
        <cfvo type="num" val="0.99"/>
        <cfvo type="num" val="1"/>
        <cfvo type="num" val="1" gte="0"/>
        <cfvo type="num" val="1.01"/>
      </iconSet>
    </cfRule>
  </conditionalFormatting>
  <conditionalFormatting sqref="I324">
    <cfRule type="iconSet" priority="56">
      <iconSet iconSet="5Arrows">
        <cfvo type="percent" val="0"/>
        <cfvo type="num" val="0.99"/>
        <cfvo type="num" val="1"/>
        <cfvo type="num" val="1" gte="0"/>
        <cfvo type="num" val="1.01"/>
      </iconSet>
    </cfRule>
  </conditionalFormatting>
  <conditionalFormatting sqref="H330:H337">
    <cfRule type="iconSet" priority="5295">
      <iconSet iconSet="3Symbols">
        <cfvo type="percent" val="0"/>
        <cfvo type="num" val="0.85"/>
        <cfvo type="num" val="0.995"/>
      </iconSet>
    </cfRule>
  </conditionalFormatting>
  <conditionalFormatting sqref="I330:I337">
    <cfRule type="iconSet" priority="5297">
      <iconSet iconSet="5Arrows">
        <cfvo type="percent" val="0"/>
        <cfvo type="num" val="0.99"/>
        <cfvo type="num" val="1"/>
        <cfvo type="num" val="1" gte="0"/>
        <cfvo type="num" val="1.01"/>
      </iconSet>
    </cfRule>
  </conditionalFormatting>
  <conditionalFormatting sqref="H125:H135">
    <cfRule type="iconSet" priority="5421">
      <iconSet iconSet="3Symbols">
        <cfvo type="percent" val="0"/>
        <cfvo type="num" val="0.85"/>
        <cfvo type="num" val="0.995"/>
      </iconSet>
    </cfRule>
  </conditionalFormatting>
  <conditionalFormatting sqref="I125:I135">
    <cfRule type="iconSet" priority="5423">
      <iconSet iconSet="5Arrows">
        <cfvo type="percent" val="0"/>
        <cfvo type="num" val="0.99"/>
        <cfvo type="num" val="1"/>
        <cfvo type="num" val="1" gte="0"/>
        <cfvo type="num" val="1.01"/>
      </iconSet>
    </cfRule>
  </conditionalFormatting>
  <conditionalFormatting sqref="H354">
    <cfRule type="iconSet" priority="54">
      <iconSet iconSet="3Symbols">
        <cfvo type="percent" val="0"/>
        <cfvo type="num" val="0.85"/>
        <cfvo type="num" val="0.995"/>
      </iconSet>
    </cfRule>
  </conditionalFormatting>
  <conditionalFormatting sqref="I354">
    <cfRule type="iconSet" priority="55">
      <iconSet iconSet="5Arrows">
        <cfvo type="percent" val="0"/>
        <cfvo type="num" val="0.99"/>
        <cfvo type="num" val="1"/>
        <cfvo type="num" val="1" gte="0"/>
        <cfvo type="num" val="1.01"/>
      </iconSet>
    </cfRule>
  </conditionalFormatting>
  <conditionalFormatting sqref="H355">
    <cfRule type="iconSet" priority="52">
      <iconSet iconSet="3Symbols">
        <cfvo type="percent" val="0"/>
        <cfvo type="num" val="0.85"/>
        <cfvo type="num" val="0.995"/>
      </iconSet>
    </cfRule>
  </conditionalFormatting>
  <conditionalFormatting sqref="I355">
    <cfRule type="iconSet" priority="53">
      <iconSet iconSet="5Arrows">
        <cfvo type="percent" val="0"/>
        <cfvo type="num" val="0.99"/>
        <cfvo type="num" val="1"/>
        <cfvo type="num" val="1" gte="0"/>
        <cfvo type="num" val="1.01"/>
      </iconSet>
    </cfRule>
  </conditionalFormatting>
  <conditionalFormatting sqref="I278">
    <cfRule type="iconSet" priority="49">
      <iconSet iconSet="5Arrows">
        <cfvo type="percent" val="0"/>
        <cfvo type="num" val="0.99"/>
        <cfvo type="num" val="1"/>
        <cfvo type="num" val="1" gte="0"/>
        <cfvo type="num" val="1.01"/>
      </iconSet>
    </cfRule>
  </conditionalFormatting>
  <conditionalFormatting sqref="H278">
    <cfRule type="iconSet" priority="48">
      <iconSet iconSet="3Symbols">
        <cfvo type="percent" val="0"/>
        <cfvo type="num" val="0.85"/>
        <cfvo type="num" val="0.995"/>
      </iconSet>
    </cfRule>
  </conditionalFormatting>
  <conditionalFormatting sqref="H278">
    <cfRule type="iconSet" priority="50">
      <iconSet iconSet="3Symbols">
        <cfvo type="percent" val="0"/>
        <cfvo type="num" val="0.85"/>
        <cfvo type="num" val="0.995"/>
      </iconSet>
    </cfRule>
  </conditionalFormatting>
  <conditionalFormatting sqref="I278">
    <cfRule type="iconSet" priority="51">
      <iconSet iconSet="5Arrows">
        <cfvo type="percent" val="0"/>
        <cfvo type="num" val="0.99"/>
        <cfvo type="num" val="1"/>
        <cfvo type="num" val="1" gte="0"/>
        <cfvo type="num" val="1.01"/>
      </iconSet>
    </cfRule>
  </conditionalFormatting>
  <conditionalFormatting sqref="I291">
    <cfRule type="iconSet" priority="46">
      <iconSet iconSet="5Arrows">
        <cfvo type="percent" val="0"/>
        <cfvo type="num" val="0.99"/>
        <cfvo type="num" val="1"/>
        <cfvo type="num" val="1" gte="0"/>
        <cfvo type="num" val="1.01"/>
      </iconSet>
    </cfRule>
  </conditionalFormatting>
  <conditionalFormatting sqref="H291">
    <cfRule type="iconSet" priority="45">
      <iconSet iconSet="3Symbols">
        <cfvo type="percent" val="0"/>
        <cfvo type="num" val="0.85"/>
        <cfvo type="num" val="0.995"/>
      </iconSet>
    </cfRule>
  </conditionalFormatting>
  <conditionalFormatting sqref="I291">
    <cfRule type="iconSet" priority="47">
      <iconSet iconSet="5Arrows">
        <cfvo type="percent" val="0"/>
        <cfvo type="num" val="0.99"/>
        <cfvo type="num" val="1"/>
        <cfvo type="num" val="1" gte="0"/>
        <cfvo type="num" val="1.01"/>
      </iconSet>
    </cfRule>
  </conditionalFormatting>
  <conditionalFormatting sqref="I298">
    <cfRule type="iconSet" priority="42">
      <iconSet iconSet="5Arrows">
        <cfvo type="percent" val="0"/>
        <cfvo type="num" val="0.99"/>
        <cfvo type="num" val="1"/>
        <cfvo type="num" val="1" gte="0"/>
        <cfvo type="num" val="1.01"/>
      </iconSet>
    </cfRule>
  </conditionalFormatting>
  <conditionalFormatting sqref="H298">
    <cfRule type="iconSet" priority="41">
      <iconSet iconSet="3Symbols">
        <cfvo type="percent" val="0"/>
        <cfvo type="num" val="0.85"/>
        <cfvo type="num" val="0.995"/>
      </iconSet>
    </cfRule>
  </conditionalFormatting>
  <conditionalFormatting sqref="H298">
    <cfRule type="iconSet" priority="43">
      <iconSet iconSet="3Symbols">
        <cfvo type="percent" val="0"/>
        <cfvo type="num" val="0.85"/>
        <cfvo type="num" val="0.995"/>
      </iconSet>
    </cfRule>
  </conditionalFormatting>
  <conditionalFormatting sqref="I298">
    <cfRule type="iconSet" priority="44">
      <iconSet iconSet="5Arrows">
        <cfvo type="percent" val="0"/>
        <cfvo type="num" val="0.99"/>
        <cfvo type="num" val="1"/>
        <cfvo type="num" val="1" gte="0"/>
        <cfvo type="num" val="1.01"/>
      </iconSet>
    </cfRule>
  </conditionalFormatting>
  <conditionalFormatting sqref="I300">
    <cfRule type="iconSet" priority="37">
      <iconSet iconSet="5Arrows">
        <cfvo type="percent" val="0"/>
        <cfvo type="num" val="0.99"/>
        <cfvo type="num" val="1"/>
        <cfvo type="num" val="1" gte="0"/>
        <cfvo type="num" val="1.01"/>
      </iconSet>
    </cfRule>
  </conditionalFormatting>
  <conditionalFormatting sqref="H300">
    <cfRule type="iconSet" priority="38">
      <iconSet iconSet="3Symbols">
        <cfvo type="percent" val="0"/>
        <cfvo type="num" val="0.85"/>
        <cfvo type="num" val="0.995"/>
      </iconSet>
    </cfRule>
  </conditionalFormatting>
  <conditionalFormatting sqref="I300">
    <cfRule type="iconSet" priority="39">
      <iconSet iconSet="5Arrows">
        <cfvo type="percent" val="0"/>
        <cfvo type="num" val="0.99"/>
        <cfvo type="num" val="1"/>
        <cfvo type="num" val="1" gte="0"/>
        <cfvo type="num" val="1.01"/>
      </iconSet>
    </cfRule>
  </conditionalFormatting>
  <conditionalFormatting sqref="H300">
    <cfRule type="iconSet" priority="40">
      <iconSet iconSet="3Symbols">
        <cfvo type="percent" val="0"/>
        <cfvo type="num" val="0.85"/>
        <cfvo type="num" val="0.995"/>
      </iconSet>
    </cfRule>
  </conditionalFormatting>
  <conditionalFormatting sqref="I303:I304">
    <cfRule type="iconSet" priority="5547">
      <iconSet iconSet="5Arrows">
        <cfvo type="percent" val="0"/>
        <cfvo type="num" val="0.99"/>
        <cfvo type="num" val="1"/>
        <cfvo type="num" val="1" gte="0"/>
        <cfvo type="num" val="1.01"/>
      </iconSet>
    </cfRule>
  </conditionalFormatting>
  <conditionalFormatting sqref="I301:I304">
    <cfRule type="iconSet" priority="5548">
      <iconSet iconSet="5Arrows">
        <cfvo type="percent" val="0"/>
        <cfvo type="num" val="0.99"/>
        <cfvo type="num" val="1"/>
        <cfvo type="num" val="1" gte="0"/>
        <cfvo type="num" val="1.01"/>
      </iconSet>
    </cfRule>
  </conditionalFormatting>
  <conditionalFormatting sqref="H305">
    <cfRule type="iconSet" priority="5560">
      <iconSet iconSet="3Symbols">
        <cfvo type="percent" val="0"/>
        <cfvo type="num" val="0.85"/>
        <cfvo type="num" val="0.995"/>
      </iconSet>
    </cfRule>
  </conditionalFormatting>
  <conditionalFormatting sqref="I307:I314">
    <cfRule type="iconSet" priority="5695">
      <iconSet iconSet="5Arrows">
        <cfvo type="percent" val="0"/>
        <cfvo type="num" val="0.99"/>
        <cfvo type="num" val="1"/>
        <cfvo type="num" val="1" gte="0"/>
        <cfvo type="num" val="1.01"/>
      </iconSet>
    </cfRule>
  </conditionalFormatting>
  <conditionalFormatting sqref="H307:H314">
    <cfRule type="iconSet" priority="5697">
      <iconSet iconSet="3Symbols">
        <cfvo type="percent" val="0"/>
        <cfvo type="num" val="0.85"/>
        <cfvo type="num" val="0.995"/>
      </iconSet>
    </cfRule>
  </conditionalFormatting>
  <conditionalFormatting sqref="H169">
    <cfRule type="iconSet" priority="35">
      <iconSet iconSet="3Symbols">
        <cfvo type="percent" val="0"/>
        <cfvo type="num" val="0.85"/>
        <cfvo type="num" val="0.995"/>
      </iconSet>
    </cfRule>
  </conditionalFormatting>
  <conditionalFormatting sqref="I169">
    <cfRule type="iconSet" priority="36">
      <iconSet iconSet="5Arrows">
        <cfvo type="percent" val="0"/>
        <cfvo type="num" val="0.99"/>
        <cfvo type="num" val="1"/>
        <cfvo type="num" val="1" gte="0"/>
        <cfvo type="num" val="1.01"/>
      </iconSet>
    </cfRule>
  </conditionalFormatting>
  <conditionalFormatting sqref="I164:I165">
    <cfRule type="iconSet" priority="34">
      <iconSet iconSet="5Arrows">
        <cfvo type="percent" val="0"/>
        <cfvo type="num" val="0.99"/>
        <cfvo type="num" val="1"/>
        <cfvo type="num" val="1" gte="0"/>
        <cfvo type="num" val="1.01"/>
      </iconSet>
    </cfRule>
  </conditionalFormatting>
  <conditionalFormatting sqref="H176">
    <cfRule type="iconSet" priority="32">
      <iconSet iconSet="3Symbols">
        <cfvo type="percent" val="0"/>
        <cfvo type="num" val="0.85"/>
        <cfvo type="num" val="0.995"/>
      </iconSet>
    </cfRule>
  </conditionalFormatting>
  <conditionalFormatting sqref="I176">
    <cfRule type="iconSet" priority="33">
      <iconSet iconSet="5Arrows">
        <cfvo type="percent" val="0"/>
        <cfvo type="num" val="0.99"/>
        <cfvo type="num" val="1"/>
        <cfvo type="num" val="1" gte="0"/>
        <cfvo type="num" val="1.01"/>
      </iconSet>
    </cfRule>
  </conditionalFormatting>
  <conditionalFormatting sqref="H178:H179">
    <cfRule type="iconSet" priority="5821">
      <iconSet iconSet="3Symbols">
        <cfvo type="percent" val="0"/>
        <cfvo type="num" val="0.85"/>
        <cfvo type="num" val="0.995"/>
      </iconSet>
    </cfRule>
  </conditionalFormatting>
  <conditionalFormatting sqref="I178:I179">
    <cfRule type="iconSet" priority="5822">
      <iconSet iconSet="5Arrows">
        <cfvo type="percent" val="0"/>
        <cfvo type="num" val="0.99"/>
        <cfvo type="num" val="1"/>
        <cfvo type="num" val="1" gte="0"/>
        <cfvo type="num" val="1.01"/>
      </iconSet>
    </cfRule>
  </conditionalFormatting>
  <conditionalFormatting sqref="H185">
    <cfRule type="iconSet" priority="30">
      <iconSet iconSet="3Symbols">
        <cfvo type="percent" val="0"/>
        <cfvo type="num" val="0.85"/>
        <cfvo type="num" val="0.995"/>
      </iconSet>
    </cfRule>
  </conditionalFormatting>
  <conditionalFormatting sqref="I185">
    <cfRule type="iconSet" priority="31">
      <iconSet iconSet="5Arrows">
        <cfvo type="percent" val="0"/>
        <cfvo type="num" val="0.99"/>
        <cfvo type="num" val="1"/>
        <cfvo type="num" val="1" gte="0"/>
        <cfvo type="num" val="1.01"/>
      </iconSet>
    </cfRule>
  </conditionalFormatting>
  <conditionalFormatting sqref="H187">
    <cfRule type="iconSet" priority="28">
      <iconSet iconSet="3Symbols">
        <cfvo type="percent" val="0"/>
        <cfvo type="num" val="0.85"/>
        <cfvo type="num" val="0.995"/>
      </iconSet>
    </cfRule>
  </conditionalFormatting>
  <conditionalFormatting sqref="H80">
    <cfRule type="iconSet" priority="26">
      <iconSet iconSet="3Symbols">
        <cfvo type="percent" val="0"/>
        <cfvo type="num" val="0.85"/>
        <cfvo type="num" val="0.995"/>
      </iconSet>
    </cfRule>
  </conditionalFormatting>
  <conditionalFormatting sqref="I80">
    <cfRule type="iconSet" priority="27">
      <iconSet iconSet="5Arrows">
        <cfvo type="percent" val="0"/>
        <cfvo type="num" val="0.99"/>
        <cfvo type="num" val="1"/>
        <cfvo type="num" val="1" gte="0"/>
        <cfvo type="num" val="1.01"/>
      </iconSet>
    </cfRule>
  </conditionalFormatting>
  <conditionalFormatting sqref="H99">
    <cfRule type="iconSet" priority="23">
      <iconSet iconSet="3Symbols">
        <cfvo type="percent" val="0"/>
        <cfvo type="num" val="0.85"/>
        <cfvo type="num" val="0.995"/>
      </iconSet>
    </cfRule>
  </conditionalFormatting>
  <conditionalFormatting sqref="I99">
    <cfRule type="iconSet" priority="24">
      <iconSet iconSet="5Arrows">
        <cfvo type="percent" val="0"/>
        <cfvo type="num" val="0.99"/>
        <cfvo type="num" val="1"/>
        <cfvo type="num" val="1" gte="0"/>
        <cfvo type="num" val="1.01"/>
      </iconSet>
    </cfRule>
  </conditionalFormatting>
  <conditionalFormatting sqref="H101:H106">
    <cfRule type="iconSet" priority="5945">
      <iconSet iconSet="3Symbols">
        <cfvo type="percent" val="0"/>
        <cfvo type="num" val="0.85"/>
        <cfvo type="num" val="0.995"/>
      </iconSet>
    </cfRule>
  </conditionalFormatting>
  <conditionalFormatting sqref="I101:I108">
    <cfRule type="iconSet" priority="5946">
      <iconSet iconSet="5Arrows">
        <cfvo type="percent" val="0"/>
        <cfvo type="num" val="0.99"/>
        <cfvo type="num" val="1"/>
        <cfvo type="num" val="1" gte="0"/>
        <cfvo type="num" val="1.01"/>
      </iconSet>
    </cfRule>
  </conditionalFormatting>
  <conditionalFormatting sqref="H25">
    <cfRule type="iconSet" priority="21">
      <iconSet iconSet="3Symbols">
        <cfvo type="percent" val="0"/>
        <cfvo type="num" val="0.85"/>
        <cfvo type="num" val="0.995"/>
      </iconSet>
    </cfRule>
  </conditionalFormatting>
  <conditionalFormatting sqref="I25">
    <cfRule type="iconSet" priority="22">
      <iconSet iconSet="5Arrows">
        <cfvo type="percent" val="0"/>
        <cfvo type="num" val="0.99"/>
        <cfvo type="num" val="1"/>
        <cfvo type="num" val="1" gte="0"/>
        <cfvo type="num" val="1.01"/>
      </iconSet>
    </cfRule>
  </conditionalFormatting>
  <conditionalFormatting sqref="H26">
    <cfRule type="iconSet" priority="19">
      <iconSet iconSet="3Symbols">
        <cfvo type="percent" val="0"/>
        <cfvo type="num" val="0.85"/>
        <cfvo type="num" val="0.995"/>
      </iconSet>
    </cfRule>
  </conditionalFormatting>
  <conditionalFormatting sqref="I26">
    <cfRule type="iconSet" priority="20">
      <iconSet iconSet="5Arrows">
        <cfvo type="percent" val="0"/>
        <cfvo type="num" val="0.99"/>
        <cfvo type="num" val="1"/>
        <cfvo type="num" val="1" gte="0"/>
        <cfvo type="num" val="1.01"/>
      </iconSet>
    </cfRule>
  </conditionalFormatting>
  <conditionalFormatting sqref="H27">
    <cfRule type="iconSet" priority="17">
      <iconSet iconSet="3Symbols">
        <cfvo type="percent" val="0"/>
        <cfvo type="num" val="0.85"/>
        <cfvo type="num" val="0.995"/>
      </iconSet>
    </cfRule>
  </conditionalFormatting>
  <conditionalFormatting sqref="I27">
    <cfRule type="iconSet" priority="18">
      <iconSet iconSet="5Arrows">
        <cfvo type="percent" val="0"/>
        <cfvo type="num" val="0.99"/>
        <cfvo type="num" val="1"/>
        <cfvo type="num" val="1" gte="0"/>
        <cfvo type="num" val="1.01"/>
      </iconSet>
    </cfRule>
  </conditionalFormatting>
  <conditionalFormatting sqref="H28">
    <cfRule type="iconSet" priority="15">
      <iconSet iconSet="3Symbols">
        <cfvo type="percent" val="0"/>
        <cfvo type="num" val="0.85"/>
        <cfvo type="num" val="0.995"/>
      </iconSet>
    </cfRule>
  </conditionalFormatting>
  <conditionalFormatting sqref="I28">
    <cfRule type="iconSet" priority="16">
      <iconSet iconSet="5Arrows">
        <cfvo type="percent" val="0"/>
        <cfvo type="num" val="0.99"/>
        <cfvo type="num" val="1"/>
        <cfvo type="num" val="1" gte="0"/>
        <cfvo type="num" val="1.01"/>
      </iconSet>
    </cfRule>
  </conditionalFormatting>
  <conditionalFormatting sqref="H29">
    <cfRule type="iconSet" priority="13">
      <iconSet iconSet="3Symbols">
        <cfvo type="percent" val="0"/>
        <cfvo type="num" val="0.85"/>
        <cfvo type="num" val="0.995"/>
      </iconSet>
    </cfRule>
  </conditionalFormatting>
  <conditionalFormatting sqref="I29">
    <cfRule type="iconSet" priority="14">
      <iconSet iconSet="5Arrows">
        <cfvo type="percent" val="0"/>
        <cfvo type="num" val="0.99"/>
        <cfvo type="num" val="1"/>
        <cfvo type="num" val="1" gte="0"/>
        <cfvo type="num" val="1.01"/>
      </iconSet>
    </cfRule>
  </conditionalFormatting>
  <conditionalFormatting sqref="I30">
    <cfRule type="iconSet" priority="10">
      <iconSet iconSet="3Symbols">
        <cfvo type="percent" val="0"/>
        <cfvo type="num" val="0.85"/>
        <cfvo type="num" val="0.995"/>
      </iconSet>
    </cfRule>
  </conditionalFormatting>
  <conditionalFormatting sqref="H30">
    <cfRule type="iconSet" priority="11">
      <iconSet iconSet="3Symbols">
        <cfvo type="percent" val="0"/>
        <cfvo type="num" val="0.85"/>
        <cfvo type="num" val="0.995"/>
      </iconSet>
    </cfRule>
  </conditionalFormatting>
  <conditionalFormatting sqref="I30">
    <cfRule type="iconSet" priority="12">
      <iconSet iconSet="5Arrows">
        <cfvo type="percent" val="0"/>
        <cfvo type="num" val="0.99"/>
        <cfvo type="num" val="1"/>
        <cfvo type="num" val="1" gte="0"/>
        <cfvo type="num" val="1.01"/>
      </iconSet>
    </cfRule>
  </conditionalFormatting>
  <conditionalFormatting sqref="I31">
    <cfRule type="iconSet" priority="7">
      <iconSet iconSet="3Symbols">
        <cfvo type="percent" val="0"/>
        <cfvo type="num" val="0.85"/>
        <cfvo type="num" val="0.995"/>
      </iconSet>
    </cfRule>
  </conditionalFormatting>
  <conditionalFormatting sqref="H31">
    <cfRule type="iconSet" priority="8">
      <iconSet iconSet="3Symbols">
        <cfvo type="percent" val="0"/>
        <cfvo type="num" val="0.85"/>
        <cfvo type="num" val="0.995"/>
      </iconSet>
    </cfRule>
  </conditionalFormatting>
  <conditionalFormatting sqref="I31">
    <cfRule type="iconSet" priority="9">
      <iconSet iconSet="5Arrows">
        <cfvo type="percent" val="0"/>
        <cfvo type="num" val="0.99"/>
        <cfvo type="num" val="1"/>
        <cfvo type="num" val="1" gte="0"/>
        <cfvo type="num" val="1.01"/>
      </iconSet>
    </cfRule>
  </conditionalFormatting>
  <conditionalFormatting sqref="H44:I47">
    <cfRule type="iconSet" priority="6069">
      <iconSet iconSet="3Symbols">
        <cfvo type="percent" val="0"/>
        <cfvo type="num" val="0.85"/>
        <cfvo type="num" val="0.995"/>
      </iconSet>
    </cfRule>
  </conditionalFormatting>
  <conditionalFormatting sqref="I44:I47">
    <cfRule type="iconSet" priority="6070">
      <iconSet iconSet="5Arrows">
        <cfvo type="percent" val="0"/>
        <cfvo type="num" val="0.99"/>
        <cfvo type="num" val="1"/>
        <cfvo type="num" val="1" gte="0"/>
        <cfvo type="num" val="1.01"/>
      </iconSet>
    </cfRule>
  </conditionalFormatting>
  <conditionalFormatting sqref="H48">
    <cfRule type="iconSet" priority="5">
      <iconSet iconSet="3Symbols">
        <cfvo type="percent" val="0"/>
        <cfvo type="num" val="0.85"/>
        <cfvo type="num" val="0.995"/>
      </iconSet>
    </cfRule>
  </conditionalFormatting>
  <conditionalFormatting sqref="I48">
    <cfRule type="iconSet" priority="6">
      <iconSet iconSet="5Arrows">
        <cfvo type="percent" val="0"/>
        <cfvo type="num" val="0.99"/>
        <cfvo type="num" val="1"/>
        <cfvo type="num" val="1" gte="0"/>
        <cfvo type="num" val="1.01"/>
      </iconSet>
    </cfRule>
  </conditionalFormatting>
  <conditionalFormatting sqref="H239">
    <cfRule type="iconSet" priority="2">
      <iconSet iconSet="5Arrows">
        <cfvo type="percent" val="0"/>
        <cfvo type="num" val="0.99"/>
        <cfvo type="num" val="1"/>
        <cfvo type="num" val="1" gte="0"/>
        <cfvo type="num" val="1.01"/>
      </iconSet>
    </cfRule>
  </conditionalFormatting>
  <conditionalFormatting sqref="H239">
    <cfRule type="iconSet" priority="1">
      <iconSet iconSet="5Arrows">
        <cfvo type="percent" val="0"/>
        <cfvo type="num" val="0.99"/>
        <cfvo type="num" val="1"/>
        <cfvo type="num" val="1" gte="0"/>
        <cfvo type="num" val="1.01"/>
      </iconSet>
    </cfRule>
  </conditionalFormatting>
  <conditionalFormatting sqref="H239">
    <cfRule type="iconSet" priority="3">
      <iconSet iconSet="3Symbols">
        <cfvo type="percent" val="0"/>
        <cfvo type="num" val="0.85"/>
        <cfvo type="num" val="0.995"/>
      </iconSet>
    </cfRule>
  </conditionalFormatting>
  <conditionalFormatting sqref="I239">
    <cfRule type="iconSet" priority="4">
      <iconSet iconSet="5Arrows">
        <cfvo type="percent" val="0"/>
        <cfvo type="num" val="0.99"/>
        <cfvo type="num" val="1"/>
        <cfvo type="num" val="1" gte="0"/>
        <cfvo type="num" val="1.01"/>
      </iconSet>
    </cfRule>
  </conditionalFormatting>
  <conditionalFormatting sqref="H236:H237">
    <cfRule type="iconSet" priority="6195">
      <iconSet iconSet="5Arrows">
        <cfvo type="percent" val="0"/>
        <cfvo type="num" val="0.99"/>
        <cfvo type="num" val="1"/>
        <cfvo type="num" val="1" gte="0"/>
        <cfvo type="num" val="1.01"/>
      </iconSet>
    </cfRule>
  </conditionalFormatting>
  <conditionalFormatting sqref="H236:H237 H241">
    <cfRule type="iconSet" priority="6196">
      <iconSet iconSet="3Symbols">
        <cfvo type="percent" val="0"/>
        <cfvo type="num" val="0.85"/>
        <cfvo type="num" val="0.995"/>
      </iconSet>
    </cfRule>
  </conditionalFormatting>
  <conditionalFormatting sqref="I238 I240">
    <cfRule type="iconSet" priority="6210">
      <iconSet iconSet="5Arrows">
        <cfvo type="percent" val="0"/>
        <cfvo type="num" val="0.99"/>
        <cfvo type="num" val="1"/>
        <cfvo type="num" val="1" gte="0"/>
        <cfvo type="num" val="1.01"/>
      </iconSet>
    </cfRule>
  </conditionalFormatting>
  <conditionalFormatting sqref="H243:H244">
    <cfRule type="iconSet" priority="6344">
      <iconSet iconSet="3Symbols">
        <cfvo type="percent" val="0"/>
        <cfvo type="num" val="0.85"/>
        <cfvo type="num" val="0.995"/>
      </iconSet>
    </cfRule>
  </conditionalFormatting>
  <conditionalFormatting sqref="I243:I244">
    <cfRule type="iconSet" priority="6345">
      <iconSet iconSet="5Arrows">
        <cfvo type="percent" val="0"/>
        <cfvo type="num" val="0.99"/>
        <cfvo type="num" val="1"/>
        <cfvo type="num" val="1" gte="0"/>
        <cfvo type="num" val="1.01"/>
      </iconSet>
    </cfRule>
  </conditionalFormatting>
  <conditionalFormatting sqref="H247:H252">
    <cfRule type="iconSet" priority="6468">
      <iconSet iconSet="5Arrows">
        <cfvo type="percent" val="0"/>
        <cfvo type="num" val="0.99"/>
        <cfvo type="num" val="1"/>
        <cfvo type="num" val="1" gte="0"/>
        <cfvo type="num" val="1.01"/>
      </iconSet>
    </cfRule>
  </conditionalFormatting>
  <conditionalFormatting sqref="H247:H252">
    <cfRule type="iconSet" priority="6470">
      <iconSet iconSet="3Symbols">
        <cfvo type="percent" val="0"/>
        <cfvo type="num" val="0.85"/>
        <cfvo type="num" val="0.995"/>
      </iconSet>
    </cfRule>
  </conditionalFormatting>
  <conditionalFormatting sqref="I247:I252">
    <cfRule type="iconSet" priority="6472">
      <iconSet iconSet="5Arrows">
        <cfvo type="percent" val="0"/>
        <cfvo type="num" val="0.99"/>
        <cfvo type="num" val="1"/>
        <cfvo type="num" val="1" gte="0"/>
        <cfvo type="num" val="1.01"/>
      </iconSet>
    </cfRule>
  </conditionalFormatting>
  <hyperlinks>
    <hyperlink ref="B62" r:id="rId1" display="consultantplus://offline/ref=1DAB841444F5CA6947AE6D9D23CE7F78801E5411DF9DACC1B90DC24224C600BA4CB756EF792FF197DEE5C70CD78E8784WDS5I"/>
  </hyperlinks>
  <printOptions horizontalCentered="1"/>
  <pageMargins left="0.23622047244094491" right="0.23622047244094491" top="0.74803149606299213" bottom="0.74803149606299213" header="0.31496062992125984" footer="0.31496062992125984"/>
  <pageSetup paperSize="9" scale="65" fitToHeight="0" pageOrder="overThenDown" orientation="landscape" r:id="rId2"/>
  <headerFooter differentFirst="1">
    <oddFooter>&amp;C&amp;"Times New Roman,обычный"&amp;P</oddFooter>
  </headerFooter>
  <ignoredErrors>
    <ignoredError sqref="I63 H118 H366 H100:I100 H145:I145 H136:I136 H157:I157 H177 H214 H223:I223 H235:I235 H242 H262:I262 H273 H292:I292 H306:I306 H407 H421:I421 H441:I441 H444:I444 H449:I449 H458:I458 H468:I468 H487:I487 H492 H411:I411 H329" formula="1"/>
    <ignoredError sqref="A43 A56 A109 A142 A162 A100 A170 A177" twoDigitTextYear="1"/>
  </ignoredError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M257"/>
  <sheetViews>
    <sheetView view="pageBreakPreview" zoomScale="60" zoomScaleNormal="80" workbookViewId="0">
      <pane ySplit="5" topLeftCell="A6" activePane="bottomLeft" state="frozen"/>
      <selection pane="bottomLeft" activeCell="B6" sqref="B6:B10"/>
    </sheetView>
  </sheetViews>
  <sheetFormatPr defaultRowHeight="15" outlineLevelRow="1" x14ac:dyDescent="0.25"/>
  <cols>
    <col min="1" max="1" width="6.5703125" style="166" customWidth="1"/>
    <col min="2" max="2" width="43" style="167" customWidth="1"/>
    <col min="3" max="3" width="13.140625" style="168" customWidth="1"/>
    <col min="4" max="4" width="19.140625" style="169" customWidth="1"/>
    <col min="5" max="5" width="16.140625" style="169" customWidth="1"/>
    <col min="6" max="6" width="27.7109375" style="170" bestFit="1" customWidth="1"/>
    <col min="7" max="7" width="9.28515625" style="171" customWidth="1"/>
    <col min="8" max="8" width="9.42578125" style="171" customWidth="1"/>
    <col min="9" max="9" width="12.42578125" style="171" customWidth="1"/>
    <col min="10" max="10" width="6" style="171" customWidth="1"/>
    <col min="11" max="11" width="15" style="171" customWidth="1"/>
    <col min="12" max="12" width="82.28515625" style="168" customWidth="1"/>
    <col min="13" max="13" width="70.5703125" customWidth="1"/>
    <col min="497" max="497" width="10.28515625" bestFit="1" customWidth="1"/>
    <col min="498" max="499" width="9.28515625" bestFit="1" customWidth="1"/>
    <col min="501" max="501" width="10.28515625" bestFit="1" customWidth="1"/>
    <col min="502" max="503" width="9.28515625" bestFit="1" customWidth="1"/>
    <col min="505" max="505" width="10.28515625" bestFit="1" customWidth="1"/>
    <col min="506" max="507" width="9.28515625" bestFit="1" customWidth="1"/>
    <col min="509" max="509" width="10.28515625" bestFit="1" customWidth="1"/>
    <col min="510" max="511" width="9.28515625" bestFit="1" customWidth="1"/>
    <col min="513" max="513" width="10.28515625" bestFit="1" customWidth="1"/>
    <col min="514" max="515" width="9.28515625" bestFit="1" customWidth="1"/>
    <col min="517" max="517" width="10.28515625" bestFit="1" customWidth="1"/>
    <col min="518" max="519" width="9.28515625" bestFit="1" customWidth="1"/>
    <col min="521" max="521" width="10.28515625" bestFit="1" customWidth="1"/>
    <col min="522" max="523" width="9.28515625" bestFit="1" customWidth="1"/>
    <col min="525" max="525" width="10.28515625" bestFit="1" customWidth="1"/>
    <col min="526" max="527" width="9.28515625" bestFit="1" customWidth="1"/>
    <col min="529" max="529" width="10.28515625" bestFit="1" customWidth="1"/>
    <col min="530" max="531" width="9.28515625" bestFit="1" customWidth="1"/>
    <col min="533" max="533" width="10.28515625" bestFit="1" customWidth="1"/>
    <col min="534" max="535" width="9.28515625" bestFit="1" customWidth="1"/>
    <col min="537" max="537" width="10.28515625" bestFit="1" customWidth="1"/>
    <col min="538" max="539" width="9.28515625" bestFit="1" customWidth="1"/>
    <col min="541" max="541" width="10.28515625" bestFit="1" customWidth="1"/>
    <col min="542" max="543" width="9.28515625" bestFit="1" customWidth="1"/>
    <col min="545" max="545" width="10.28515625" bestFit="1" customWidth="1"/>
    <col min="546" max="547" width="9.28515625" bestFit="1" customWidth="1"/>
    <col min="549" max="549" width="10.28515625" bestFit="1" customWidth="1"/>
    <col min="550" max="551" width="9.28515625" bestFit="1" customWidth="1"/>
    <col min="553" max="553" width="10.28515625" bestFit="1" customWidth="1"/>
    <col min="554" max="555" width="9.28515625" bestFit="1" customWidth="1"/>
    <col min="557" max="557" width="10.28515625" bestFit="1" customWidth="1"/>
    <col min="558" max="559" width="9.28515625" bestFit="1" customWidth="1"/>
    <col min="561" max="561" width="10.28515625" bestFit="1" customWidth="1"/>
    <col min="562" max="563" width="9.28515625" bestFit="1" customWidth="1"/>
    <col min="565" max="565" width="10.28515625" bestFit="1" customWidth="1"/>
    <col min="566" max="567" width="9.28515625" bestFit="1" customWidth="1"/>
    <col min="569" max="569" width="10.28515625" bestFit="1" customWidth="1"/>
    <col min="570" max="571" width="9.28515625" bestFit="1" customWidth="1"/>
    <col min="573" max="573" width="10.28515625" bestFit="1" customWidth="1"/>
    <col min="574" max="575" width="9.28515625" bestFit="1" customWidth="1"/>
    <col min="577" max="577" width="10.28515625" bestFit="1" customWidth="1"/>
    <col min="578" max="579" width="9.28515625" bestFit="1" customWidth="1"/>
    <col min="581" max="581" width="10.28515625" bestFit="1" customWidth="1"/>
    <col min="582" max="583" width="9.28515625" bestFit="1" customWidth="1"/>
    <col min="585" max="585" width="10.28515625" bestFit="1" customWidth="1"/>
    <col min="586" max="587" width="9.28515625" bestFit="1" customWidth="1"/>
    <col min="589" max="589" width="10.28515625" bestFit="1" customWidth="1"/>
    <col min="590" max="591" width="9.28515625" bestFit="1" customWidth="1"/>
    <col min="593" max="593" width="10.28515625" bestFit="1" customWidth="1"/>
    <col min="594" max="595" width="9.28515625" bestFit="1" customWidth="1"/>
    <col min="597" max="597" width="10.28515625" bestFit="1" customWidth="1"/>
    <col min="598" max="599" width="9.28515625" bestFit="1" customWidth="1"/>
    <col min="601" max="601" width="10.28515625" bestFit="1" customWidth="1"/>
    <col min="602" max="603" width="9.28515625" bestFit="1" customWidth="1"/>
    <col min="605" max="605" width="10.28515625" bestFit="1" customWidth="1"/>
    <col min="606" max="607" width="9.28515625" bestFit="1" customWidth="1"/>
    <col min="609" max="609" width="10.28515625" bestFit="1" customWidth="1"/>
    <col min="610" max="611" width="9.28515625" bestFit="1" customWidth="1"/>
    <col min="613" max="613" width="10.28515625" bestFit="1" customWidth="1"/>
    <col min="614" max="615" width="9.28515625" bestFit="1" customWidth="1"/>
    <col min="617" max="617" width="10.28515625" bestFit="1" customWidth="1"/>
    <col min="618" max="619" width="9.28515625" bestFit="1" customWidth="1"/>
    <col min="621" max="621" width="10.28515625" bestFit="1" customWidth="1"/>
    <col min="622" max="623" width="9.28515625" bestFit="1" customWidth="1"/>
    <col min="625" max="625" width="10.28515625" bestFit="1" customWidth="1"/>
    <col min="626" max="627" width="9.28515625" bestFit="1" customWidth="1"/>
    <col min="629" max="629" width="10.28515625" bestFit="1" customWidth="1"/>
    <col min="630" max="631" width="9.28515625" bestFit="1" customWidth="1"/>
    <col min="633" max="633" width="10.28515625" bestFit="1" customWidth="1"/>
    <col min="634" max="635" width="9.28515625" bestFit="1" customWidth="1"/>
    <col min="637" max="637" width="10.28515625" bestFit="1" customWidth="1"/>
    <col min="638" max="639" width="9.28515625" bestFit="1" customWidth="1"/>
    <col min="641" max="641" width="10.28515625" bestFit="1" customWidth="1"/>
    <col min="642" max="643" width="9.28515625" bestFit="1" customWidth="1"/>
    <col min="645" max="645" width="10.28515625" bestFit="1" customWidth="1"/>
    <col min="646" max="647" width="9.28515625" bestFit="1" customWidth="1"/>
    <col min="649" max="649" width="10.28515625" bestFit="1" customWidth="1"/>
    <col min="650" max="651" width="9.28515625" bestFit="1" customWidth="1"/>
    <col min="653" max="653" width="10.28515625" bestFit="1" customWidth="1"/>
    <col min="654" max="655" width="9.28515625" bestFit="1" customWidth="1"/>
    <col min="657" max="657" width="10.28515625" bestFit="1" customWidth="1"/>
    <col min="658" max="659" width="9.28515625" bestFit="1" customWidth="1"/>
    <col min="661" max="661" width="10.28515625" bestFit="1" customWidth="1"/>
    <col min="662" max="663" width="9.28515625" bestFit="1" customWidth="1"/>
    <col min="665" max="665" width="10.28515625" bestFit="1" customWidth="1"/>
    <col min="666" max="667" width="9.28515625" bestFit="1" customWidth="1"/>
    <col min="669" max="669" width="10.28515625" bestFit="1" customWidth="1"/>
    <col min="670" max="671" width="9.28515625" bestFit="1" customWidth="1"/>
    <col min="673" max="673" width="10.28515625" bestFit="1" customWidth="1"/>
    <col min="674" max="675" width="9.28515625" bestFit="1" customWidth="1"/>
    <col min="677" max="677" width="10.28515625" bestFit="1" customWidth="1"/>
    <col min="678" max="679" width="9.28515625" bestFit="1" customWidth="1"/>
    <col min="681" max="681" width="10.28515625" bestFit="1" customWidth="1"/>
    <col min="682" max="683" width="9.28515625" bestFit="1" customWidth="1"/>
    <col min="685" max="685" width="10.28515625" bestFit="1" customWidth="1"/>
    <col min="686" max="687" width="9.28515625" bestFit="1" customWidth="1"/>
    <col min="689" max="689" width="10.28515625" bestFit="1" customWidth="1"/>
    <col min="690" max="691" width="9.28515625" bestFit="1" customWidth="1"/>
    <col min="693" max="693" width="10.28515625" bestFit="1" customWidth="1"/>
    <col min="694" max="695" width="9.28515625" bestFit="1" customWidth="1"/>
    <col min="697" max="697" width="10.28515625" bestFit="1" customWidth="1"/>
    <col min="698" max="699" width="9.28515625" bestFit="1" customWidth="1"/>
    <col min="701" max="701" width="10.28515625" bestFit="1" customWidth="1"/>
    <col min="702" max="703" width="9.28515625" bestFit="1" customWidth="1"/>
    <col min="705" max="705" width="10.28515625" bestFit="1" customWidth="1"/>
    <col min="706" max="707" width="9.28515625" bestFit="1" customWidth="1"/>
    <col min="709" max="709" width="10.28515625" bestFit="1" customWidth="1"/>
    <col min="710" max="711" width="9.28515625" bestFit="1" customWidth="1"/>
    <col min="713" max="713" width="10.28515625" bestFit="1" customWidth="1"/>
    <col min="714" max="715" width="9.28515625" bestFit="1" customWidth="1"/>
    <col min="717" max="717" width="10.28515625" bestFit="1" customWidth="1"/>
    <col min="718" max="719" width="9.28515625" bestFit="1" customWidth="1"/>
    <col min="721" max="721" width="10.28515625" bestFit="1" customWidth="1"/>
    <col min="722" max="723" width="9.28515625" bestFit="1" customWidth="1"/>
    <col min="725" max="725" width="10.28515625" bestFit="1" customWidth="1"/>
    <col min="726" max="727" width="9.28515625" bestFit="1" customWidth="1"/>
    <col min="729" max="729" width="10.28515625" bestFit="1" customWidth="1"/>
    <col min="730" max="731" width="9.28515625" bestFit="1" customWidth="1"/>
    <col min="733" max="733" width="10.28515625" bestFit="1" customWidth="1"/>
    <col min="734" max="735" width="9.28515625" bestFit="1" customWidth="1"/>
    <col min="737" max="737" width="10.28515625" bestFit="1" customWidth="1"/>
    <col min="738" max="739" width="9.28515625" bestFit="1" customWidth="1"/>
    <col min="741" max="741" width="10.28515625" bestFit="1" customWidth="1"/>
    <col min="742" max="743" width="9.28515625" bestFit="1" customWidth="1"/>
    <col min="745" max="745" width="10.28515625" bestFit="1" customWidth="1"/>
    <col min="746" max="747" width="9.28515625" bestFit="1" customWidth="1"/>
    <col min="749" max="749" width="10.28515625" bestFit="1" customWidth="1"/>
    <col min="750" max="751" width="9.28515625" bestFit="1" customWidth="1"/>
    <col min="753" max="753" width="10.28515625" bestFit="1" customWidth="1"/>
    <col min="754" max="755" width="9.28515625" bestFit="1" customWidth="1"/>
    <col min="757" max="757" width="10.28515625" bestFit="1" customWidth="1"/>
    <col min="758" max="759" width="9.28515625" bestFit="1" customWidth="1"/>
    <col min="761" max="761" width="10.28515625" bestFit="1" customWidth="1"/>
    <col min="762" max="763" width="9.28515625" bestFit="1" customWidth="1"/>
    <col min="765" max="765" width="10.28515625" bestFit="1" customWidth="1"/>
    <col min="766" max="767" width="9.28515625" bestFit="1" customWidth="1"/>
    <col min="769" max="769" width="10.28515625" bestFit="1" customWidth="1"/>
    <col min="770" max="771" width="9.28515625" bestFit="1" customWidth="1"/>
    <col min="773" max="773" width="10.28515625" bestFit="1" customWidth="1"/>
    <col min="774" max="775" width="9.28515625" bestFit="1" customWidth="1"/>
    <col min="777" max="777" width="10.28515625" bestFit="1" customWidth="1"/>
    <col min="778" max="779" width="9.28515625" bestFit="1" customWidth="1"/>
    <col min="781" max="781" width="10.28515625" bestFit="1" customWidth="1"/>
    <col min="782" max="783" width="9.28515625" bestFit="1" customWidth="1"/>
    <col min="785" max="785" width="10.28515625" bestFit="1" customWidth="1"/>
    <col min="786" max="787" width="9.28515625" bestFit="1" customWidth="1"/>
    <col min="789" max="789" width="10.28515625" bestFit="1" customWidth="1"/>
    <col min="790" max="791" width="9.28515625" bestFit="1" customWidth="1"/>
    <col min="793" max="793" width="10.28515625" bestFit="1" customWidth="1"/>
    <col min="794" max="795" width="9.28515625" bestFit="1" customWidth="1"/>
    <col min="797" max="797" width="10.28515625" bestFit="1" customWidth="1"/>
    <col min="798" max="799" width="9.28515625" bestFit="1" customWidth="1"/>
    <col min="801" max="801" width="10.28515625" bestFit="1" customWidth="1"/>
    <col min="802" max="803" width="9.28515625" bestFit="1" customWidth="1"/>
    <col min="805" max="805" width="10.28515625" bestFit="1" customWidth="1"/>
    <col min="806" max="807" width="9.28515625" bestFit="1" customWidth="1"/>
    <col min="809" max="809" width="10.28515625" bestFit="1" customWidth="1"/>
    <col min="810" max="811" width="9.28515625" bestFit="1" customWidth="1"/>
    <col min="813" max="813" width="10.28515625" bestFit="1" customWidth="1"/>
    <col min="814" max="815" width="9.28515625" bestFit="1" customWidth="1"/>
    <col min="817" max="817" width="10.28515625" bestFit="1" customWidth="1"/>
    <col min="818" max="819" width="9.28515625" bestFit="1" customWidth="1"/>
    <col min="821" max="821" width="10.28515625" bestFit="1" customWidth="1"/>
    <col min="822" max="823" width="9.28515625" bestFit="1" customWidth="1"/>
    <col min="825" max="825" width="10.28515625" bestFit="1" customWidth="1"/>
    <col min="826" max="827" width="9.28515625" bestFit="1" customWidth="1"/>
    <col min="829" max="829" width="10.28515625" bestFit="1" customWidth="1"/>
    <col min="830" max="831" width="9.28515625" bestFit="1" customWidth="1"/>
    <col min="833" max="833" width="10.28515625" bestFit="1" customWidth="1"/>
    <col min="834" max="835" width="9.28515625" bestFit="1" customWidth="1"/>
    <col min="837" max="837" width="10.28515625" bestFit="1" customWidth="1"/>
    <col min="838" max="839" width="9.28515625" bestFit="1" customWidth="1"/>
    <col min="841" max="841" width="10.28515625" bestFit="1" customWidth="1"/>
    <col min="842" max="843" width="9.28515625" bestFit="1" customWidth="1"/>
    <col min="845" max="845" width="10.28515625" bestFit="1" customWidth="1"/>
    <col min="846" max="847" width="9.28515625" bestFit="1" customWidth="1"/>
    <col min="849" max="849" width="10.28515625" bestFit="1" customWidth="1"/>
    <col min="850" max="851" width="9.28515625" bestFit="1" customWidth="1"/>
    <col min="853" max="853" width="10.28515625" bestFit="1" customWidth="1"/>
    <col min="854" max="855" width="9.28515625" bestFit="1" customWidth="1"/>
    <col min="857" max="857" width="10.28515625" bestFit="1" customWidth="1"/>
    <col min="858" max="859" width="9.28515625" bestFit="1" customWidth="1"/>
    <col min="861" max="861" width="10.28515625" bestFit="1" customWidth="1"/>
    <col min="862" max="863" width="9.28515625" bestFit="1" customWidth="1"/>
    <col min="865" max="865" width="10.28515625" bestFit="1" customWidth="1"/>
    <col min="866" max="867" width="9.28515625" bestFit="1" customWidth="1"/>
    <col min="869" max="869" width="10.28515625" bestFit="1" customWidth="1"/>
    <col min="870" max="871" width="9.28515625" bestFit="1" customWidth="1"/>
    <col min="873" max="873" width="10.28515625" bestFit="1" customWidth="1"/>
    <col min="874" max="875" width="9.28515625" bestFit="1" customWidth="1"/>
    <col min="877" max="877" width="10.28515625" bestFit="1" customWidth="1"/>
    <col min="878" max="879" width="9.28515625" bestFit="1" customWidth="1"/>
    <col min="881" max="881" width="10.28515625" bestFit="1" customWidth="1"/>
    <col min="882" max="883" width="9.28515625" bestFit="1" customWidth="1"/>
    <col min="885" max="885" width="10.28515625" bestFit="1" customWidth="1"/>
    <col min="886" max="887" width="9.28515625" bestFit="1" customWidth="1"/>
    <col min="889" max="889" width="10.28515625" bestFit="1" customWidth="1"/>
    <col min="890" max="891" width="9.28515625" bestFit="1" customWidth="1"/>
    <col min="893" max="893" width="10.28515625" bestFit="1" customWidth="1"/>
    <col min="894" max="895" width="9.28515625" bestFit="1" customWidth="1"/>
    <col min="897" max="897" width="10.28515625" bestFit="1" customWidth="1"/>
    <col min="898" max="899" width="9.28515625" bestFit="1" customWidth="1"/>
    <col min="901" max="901" width="10.28515625" bestFit="1" customWidth="1"/>
    <col min="902" max="903" width="9.28515625" bestFit="1" customWidth="1"/>
    <col min="905" max="905" width="10.28515625" bestFit="1" customWidth="1"/>
    <col min="906" max="907" width="9.28515625" bestFit="1" customWidth="1"/>
    <col min="909" max="909" width="10.28515625" bestFit="1" customWidth="1"/>
    <col min="910" max="911" width="9.28515625" bestFit="1" customWidth="1"/>
    <col min="913" max="913" width="10.28515625" bestFit="1" customWidth="1"/>
    <col min="914" max="915" width="9.28515625" bestFit="1" customWidth="1"/>
    <col min="917" max="917" width="10.28515625" bestFit="1" customWidth="1"/>
    <col min="918" max="919" width="9.28515625" bestFit="1" customWidth="1"/>
    <col min="921" max="921" width="10.28515625" bestFit="1" customWidth="1"/>
    <col min="922" max="923" width="9.28515625" bestFit="1" customWidth="1"/>
    <col min="925" max="925" width="10.28515625" bestFit="1" customWidth="1"/>
    <col min="926" max="927" width="9.28515625" bestFit="1" customWidth="1"/>
    <col min="929" max="929" width="10.28515625" bestFit="1" customWidth="1"/>
    <col min="930" max="931" width="9.28515625" bestFit="1" customWidth="1"/>
    <col min="933" max="933" width="10.28515625" bestFit="1" customWidth="1"/>
    <col min="934" max="935" width="9.28515625" bestFit="1" customWidth="1"/>
    <col min="937" max="937" width="10.28515625" bestFit="1" customWidth="1"/>
    <col min="938" max="939" width="9.28515625" bestFit="1" customWidth="1"/>
    <col min="941" max="941" width="10.28515625" bestFit="1" customWidth="1"/>
    <col min="942" max="943" width="9.28515625" bestFit="1" customWidth="1"/>
    <col min="945" max="945" width="10.28515625" bestFit="1" customWidth="1"/>
    <col min="946" max="947" width="9.28515625" bestFit="1" customWidth="1"/>
    <col min="949" max="949" width="10.28515625" bestFit="1" customWidth="1"/>
    <col min="950" max="951" width="9.28515625" bestFit="1" customWidth="1"/>
    <col min="953" max="953" width="10.28515625" bestFit="1" customWidth="1"/>
    <col min="954" max="955" width="9.28515625" bestFit="1" customWidth="1"/>
    <col min="957" max="957" width="10.28515625" bestFit="1" customWidth="1"/>
    <col min="958" max="959" width="9.28515625" bestFit="1" customWidth="1"/>
    <col min="961" max="961" width="10.28515625" bestFit="1" customWidth="1"/>
    <col min="962" max="963" width="9.28515625" bestFit="1" customWidth="1"/>
    <col min="965" max="965" width="10.28515625" bestFit="1" customWidth="1"/>
    <col min="966" max="967" width="9.28515625" bestFit="1" customWidth="1"/>
    <col min="969" max="969" width="10.28515625" bestFit="1" customWidth="1"/>
    <col min="970" max="971" width="9.28515625" bestFit="1" customWidth="1"/>
    <col min="973" max="973" width="10.28515625" bestFit="1" customWidth="1"/>
    <col min="974" max="975" width="9.28515625" bestFit="1" customWidth="1"/>
    <col min="977" max="977" width="10.28515625" bestFit="1" customWidth="1"/>
    <col min="978" max="979" width="9.28515625" bestFit="1" customWidth="1"/>
    <col min="981" max="981" width="10.28515625" bestFit="1" customWidth="1"/>
    <col min="982" max="983" width="9.28515625" bestFit="1" customWidth="1"/>
    <col min="985" max="985" width="10.28515625" bestFit="1" customWidth="1"/>
    <col min="986" max="987" width="9.28515625" bestFit="1" customWidth="1"/>
    <col min="989" max="989" width="10.28515625" bestFit="1" customWidth="1"/>
    <col min="990" max="991" width="9.28515625" bestFit="1" customWidth="1"/>
    <col min="993" max="993" width="10.28515625" bestFit="1" customWidth="1"/>
    <col min="994" max="995" width="9.28515625" bestFit="1" customWidth="1"/>
    <col min="997" max="997" width="10.28515625" bestFit="1" customWidth="1"/>
    <col min="998" max="999" width="9.28515625" bestFit="1" customWidth="1"/>
    <col min="1001" max="1001" width="10.28515625" bestFit="1" customWidth="1"/>
    <col min="1002" max="1003" width="9.28515625" bestFit="1" customWidth="1"/>
    <col min="1005" max="1005" width="10.28515625" bestFit="1" customWidth="1"/>
    <col min="1006" max="1007" width="9.28515625" bestFit="1" customWidth="1"/>
    <col min="1009" max="1009" width="10.28515625" bestFit="1" customWidth="1"/>
    <col min="1010" max="1011" width="9.28515625" bestFit="1" customWidth="1"/>
    <col min="1013" max="1013" width="10.28515625" bestFit="1" customWidth="1"/>
    <col min="1014" max="1015" width="9.28515625" bestFit="1" customWidth="1"/>
    <col min="1017" max="1017" width="10.28515625" bestFit="1" customWidth="1"/>
    <col min="1018" max="1019" width="9.28515625" bestFit="1" customWidth="1"/>
    <col min="1021" max="1021" width="10.28515625" bestFit="1" customWidth="1"/>
    <col min="1022" max="1023" width="9.28515625" bestFit="1" customWidth="1"/>
    <col min="1025" max="1025" width="10.28515625" bestFit="1" customWidth="1"/>
    <col min="1026" max="1027" width="9.28515625" bestFit="1" customWidth="1"/>
    <col min="1029" max="1029" width="10.28515625" bestFit="1" customWidth="1"/>
    <col min="1030" max="1031" width="9.28515625" bestFit="1" customWidth="1"/>
    <col min="1033" max="1033" width="10.28515625" bestFit="1" customWidth="1"/>
    <col min="1034" max="1035" width="9.28515625" bestFit="1" customWidth="1"/>
    <col min="1037" max="1037" width="10.28515625" bestFit="1" customWidth="1"/>
    <col min="1038" max="1039" width="9.28515625" bestFit="1" customWidth="1"/>
    <col min="1041" max="1041" width="10.28515625" bestFit="1" customWidth="1"/>
    <col min="1042" max="1043" width="9.28515625" bestFit="1" customWidth="1"/>
    <col min="1045" max="1045" width="10.28515625" bestFit="1" customWidth="1"/>
    <col min="1046" max="1047" width="9.28515625" bestFit="1" customWidth="1"/>
    <col min="1049" max="1049" width="10.28515625" bestFit="1" customWidth="1"/>
    <col min="1050" max="1051" width="9.28515625" bestFit="1" customWidth="1"/>
    <col min="1053" max="1053" width="10.28515625" bestFit="1" customWidth="1"/>
    <col min="1054" max="1055" width="9.28515625" bestFit="1" customWidth="1"/>
    <col min="1057" max="1057" width="10.28515625" bestFit="1" customWidth="1"/>
    <col min="1058" max="1059" width="9.28515625" bestFit="1" customWidth="1"/>
    <col min="1061" max="1061" width="10.28515625" bestFit="1" customWidth="1"/>
    <col min="1062" max="1063" width="9.28515625" bestFit="1" customWidth="1"/>
    <col min="1065" max="1065" width="10.28515625" bestFit="1" customWidth="1"/>
    <col min="1066" max="1067" width="9.28515625" bestFit="1" customWidth="1"/>
    <col min="1069" max="1069" width="10.28515625" bestFit="1" customWidth="1"/>
    <col min="1070" max="1071" width="9.28515625" bestFit="1" customWidth="1"/>
    <col min="1073" max="1073" width="10.28515625" bestFit="1" customWidth="1"/>
    <col min="1074" max="1075" width="9.28515625" bestFit="1" customWidth="1"/>
    <col min="1077" max="1077" width="10.28515625" bestFit="1" customWidth="1"/>
    <col min="1078" max="1079" width="9.28515625" bestFit="1" customWidth="1"/>
    <col min="1081" max="1081" width="10.28515625" bestFit="1" customWidth="1"/>
    <col min="1082" max="1083" width="9.28515625" bestFit="1" customWidth="1"/>
    <col min="1085" max="1085" width="10.28515625" bestFit="1" customWidth="1"/>
    <col min="1086" max="1087" width="9.28515625" bestFit="1" customWidth="1"/>
    <col min="1089" max="1089" width="10.28515625" bestFit="1" customWidth="1"/>
    <col min="1090" max="1091" width="9.28515625" bestFit="1" customWidth="1"/>
    <col min="1093" max="1093" width="10.28515625" bestFit="1" customWidth="1"/>
    <col min="1094" max="1095" width="9.28515625" bestFit="1" customWidth="1"/>
    <col min="1097" max="1097" width="10.28515625" bestFit="1" customWidth="1"/>
    <col min="1098" max="1099" width="9.28515625" bestFit="1" customWidth="1"/>
    <col min="1101" max="1101" width="10.28515625" bestFit="1" customWidth="1"/>
    <col min="1102" max="1103" width="9.28515625" bestFit="1" customWidth="1"/>
    <col min="1105" max="1105" width="10.28515625" bestFit="1" customWidth="1"/>
    <col min="1106" max="1107" width="9.28515625" bestFit="1" customWidth="1"/>
    <col min="1109" max="1109" width="10.28515625" bestFit="1" customWidth="1"/>
    <col min="1110" max="1111" width="9.28515625" bestFit="1" customWidth="1"/>
    <col min="1113" max="1113" width="10.28515625" bestFit="1" customWidth="1"/>
    <col min="1114" max="1115" width="9.28515625" bestFit="1" customWidth="1"/>
    <col min="1117" max="1117" width="10.28515625" bestFit="1" customWidth="1"/>
    <col min="1118" max="1119" width="9.28515625" bestFit="1" customWidth="1"/>
    <col min="1121" max="1121" width="10.28515625" bestFit="1" customWidth="1"/>
    <col min="1122" max="1123" width="9.28515625" bestFit="1" customWidth="1"/>
    <col min="1125" max="1125" width="10.28515625" bestFit="1" customWidth="1"/>
    <col min="1126" max="1127" width="9.28515625" bestFit="1" customWidth="1"/>
    <col min="1129" max="1129" width="10.28515625" bestFit="1" customWidth="1"/>
    <col min="1130" max="1131" width="9.28515625" bestFit="1" customWidth="1"/>
    <col min="1133" max="1133" width="10.28515625" bestFit="1" customWidth="1"/>
    <col min="1134" max="1135" width="9.28515625" bestFit="1" customWidth="1"/>
    <col min="1137" max="1137" width="10.28515625" bestFit="1" customWidth="1"/>
    <col min="1138" max="1139" width="9.28515625" bestFit="1" customWidth="1"/>
    <col min="1141" max="1141" width="10.28515625" bestFit="1" customWidth="1"/>
    <col min="1142" max="1143" width="9.28515625" bestFit="1" customWidth="1"/>
    <col min="1145" max="1145" width="10.28515625" bestFit="1" customWidth="1"/>
    <col min="1146" max="1147" width="9.28515625" bestFit="1" customWidth="1"/>
    <col min="1149" max="1149" width="10.28515625" bestFit="1" customWidth="1"/>
    <col min="1150" max="1151" width="9.28515625" bestFit="1" customWidth="1"/>
    <col min="1153" max="1153" width="10.28515625" bestFit="1" customWidth="1"/>
    <col min="1154" max="1155" width="9.28515625" bestFit="1" customWidth="1"/>
    <col min="1157" max="1157" width="10.28515625" bestFit="1" customWidth="1"/>
    <col min="1158" max="1159" width="9.28515625" bestFit="1" customWidth="1"/>
    <col min="1161" max="1161" width="10.28515625" bestFit="1" customWidth="1"/>
    <col min="1162" max="1163" width="9.28515625" bestFit="1" customWidth="1"/>
    <col min="1165" max="1165" width="10.28515625" bestFit="1" customWidth="1"/>
    <col min="1166" max="1167" width="9.28515625" bestFit="1" customWidth="1"/>
    <col min="1169" max="1169" width="10.28515625" bestFit="1" customWidth="1"/>
    <col min="1170" max="1171" width="9.28515625" bestFit="1" customWidth="1"/>
    <col min="1173" max="1173" width="10.28515625" bestFit="1" customWidth="1"/>
    <col min="1174" max="1175" width="9.28515625" bestFit="1" customWidth="1"/>
    <col min="1177" max="1177" width="10.28515625" bestFit="1" customWidth="1"/>
    <col min="1178" max="1179" width="9.28515625" bestFit="1" customWidth="1"/>
    <col min="1181" max="1181" width="10.28515625" bestFit="1" customWidth="1"/>
    <col min="1182" max="1183" width="9.28515625" bestFit="1" customWidth="1"/>
    <col min="1185" max="1185" width="10.28515625" bestFit="1" customWidth="1"/>
    <col min="1186" max="1187" width="9.28515625" bestFit="1" customWidth="1"/>
    <col min="1189" max="1189" width="10.28515625" bestFit="1" customWidth="1"/>
    <col min="1190" max="1191" width="9.28515625" bestFit="1" customWidth="1"/>
    <col min="1193" max="1193" width="10.28515625" bestFit="1" customWidth="1"/>
    <col min="1194" max="1195" width="9.28515625" bestFit="1" customWidth="1"/>
    <col min="1197" max="1197" width="10.28515625" bestFit="1" customWidth="1"/>
    <col min="1198" max="1199" width="9.28515625" bestFit="1" customWidth="1"/>
    <col min="1201" max="1201" width="10.28515625" bestFit="1" customWidth="1"/>
    <col min="1202" max="1203" width="9.28515625" bestFit="1" customWidth="1"/>
    <col min="1205" max="1205" width="10.28515625" bestFit="1" customWidth="1"/>
    <col min="1206" max="1207" width="9.28515625" bestFit="1" customWidth="1"/>
    <col min="1209" max="1209" width="10.28515625" bestFit="1" customWidth="1"/>
    <col min="1210" max="1211" width="9.28515625" bestFit="1" customWidth="1"/>
    <col min="1213" max="1213" width="10.28515625" bestFit="1" customWidth="1"/>
    <col min="1214" max="1215" width="9.28515625" bestFit="1" customWidth="1"/>
    <col min="1217" max="1217" width="10.28515625" bestFit="1" customWidth="1"/>
    <col min="1218" max="1219" width="9.28515625" bestFit="1" customWidth="1"/>
    <col min="1221" max="1221" width="10.28515625" bestFit="1" customWidth="1"/>
    <col min="1222" max="1223" width="9.28515625" bestFit="1" customWidth="1"/>
    <col min="1225" max="1225" width="10.28515625" bestFit="1" customWidth="1"/>
    <col min="1226" max="1227" width="9.28515625" bestFit="1" customWidth="1"/>
    <col min="1229" max="1229" width="10.28515625" bestFit="1" customWidth="1"/>
    <col min="1230" max="1231" width="9.28515625" bestFit="1" customWidth="1"/>
    <col min="1233" max="1233" width="10.28515625" bestFit="1" customWidth="1"/>
    <col min="1234" max="1235" width="9.28515625" bestFit="1" customWidth="1"/>
    <col min="1237" max="1237" width="10.28515625" bestFit="1" customWidth="1"/>
    <col min="1238" max="1239" width="9.28515625" bestFit="1" customWidth="1"/>
    <col min="1241" max="1241" width="10.28515625" bestFit="1" customWidth="1"/>
    <col min="1242" max="1243" width="9.28515625" bestFit="1" customWidth="1"/>
    <col min="1245" max="1245" width="10.28515625" bestFit="1" customWidth="1"/>
    <col min="1246" max="1247" width="9.28515625" bestFit="1" customWidth="1"/>
    <col min="1249" max="1249" width="10.28515625" bestFit="1" customWidth="1"/>
    <col min="1250" max="1251" width="9.28515625" bestFit="1" customWidth="1"/>
    <col min="1253" max="1253" width="10.28515625" bestFit="1" customWidth="1"/>
    <col min="1254" max="1255" width="9.28515625" bestFit="1" customWidth="1"/>
    <col min="1257" max="1257" width="10.28515625" bestFit="1" customWidth="1"/>
    <col min="1258" max="1259" width="9.28515625" bestFit="1" customWidth="1"/>
    <col min="1261" max="1261" width="10.28515625" bestFit="1" customWidth="1"/>
    <col min="1262" max="1263" width="9.28515625" bestFit="1" customWidth="1"/>
    <col min="1265" max="1265" width="10.28515625" bestFit="1" customWidth="1"/>
    <col min="1266" max="1267" width="9.28515625" bestFit="1" customWidth="1"/>
    <col min="1269" max="1269" width="10.28515625" bestFit="1" customWidth="1"/>
    <col min="1270" max="1271" width="9.28515625" bestFit="1" customWidth="1"/>
    <col min="1273" max="1273" width="10.28515625" bestFit="1" customWidth="1"/>
    <col min="1274" max="1275" width="9.28515625" bestFit="1" customWidth="1"/>
    <col min="1277" max="1277" width="10.28515625" bestFit="1" customWidth="1"/>
    <col min="1278" max="1279" width="9.28515625" bestFit="1" customWidth="1"/>
    <col min="1281" max="1281" width="10.28515625" bestFit="1" customWidth="1"/>
    <col min="1282" max="1283" width="9.28515625" bestFit="1" customWidth="1"/>
    <col min="1285" max="1285" width="10.28515625" bestFit="1" customWidth="1"/>
    <col min="1286" max="1287" width="9.28515625" bestFit="1" customWidth="1"/>
    <col min="1289" max="1289" width="10.28515625" bestFit="1" customWidth="1"/>
    <col min="1290" max="1291" width="9.28515625" bestFit="1" customWidth="1"/>
    <col min="1293" max="1293" width="10.28515625" bestFit="1" customWidth="1"/>
    <col min="1294" max="1295" width="9.28515625" bestFit="1" customWidth="1"/>
    <col min="1297" max="1297" width="10.28515625" bestFit="1" customWidth="1"/>
    <col min="1298" max="1299" width="9.28515625" bestFit="1" customWidth="1"/>
    <col min="1301" max="1301" width="10.28515625" bestFit="1" customWidth="1"/>
    <col min="1302" max="1303" width="9.28515625" bestFit="1" customWidth="1"/>
    <col min="1305" max="1305" width="10.28515625" bestFit="1" customWidth="1"/>
    <col min="1306" max="1307" width="9.28515625" bestFit="1" customWidth="1"/>
    <col min="1309" max="1309" width="10.28515625" bestFit="1" customWidth="1"/>
    <col min="1310" max="1311" width="9.28515625" bestFit="1" customWidth="1"/>
    <col min="1313" max="1313" width="10.28515625" bestFit="1" customWidth="1"/>
    <col min="1314" max="1315" width="9.28515625" bestFit="1" customWidth="1"/>
    <col min="1317" max="1317" width="10.28515625" bestFit="1" customWidth="1"/>
    <col min="1318" max="1319" width="9.28515625" bestFit="1" customWidth="1"/>
    <col min="1321" max="1321" width="10.28515625" bestFit="1" customWidth="1"/>
    <col min="1322" max="1323" width="9.28515625" bestFit="1" customWidth="1"/>
    <col min="1325" max="1325" width="10.28515625" bestFit="1" customWidth="1"/>
    <col min="1326" max="1327" width="9.28515625" bestFit="1" customWidth="1"/>
    <col min="1329" max="1329" width="10.28515625" bestFit="1" customWidth="1"/>
    <col min="1330" max="1331" width="9.28515625" bestFit="1" customWidth="1"/>
    <col min="1333" max="1333" width="10.28515625" bestFit="1" customWidth="1"/>
    <col min="1334" max="1335" width="9.28515625" bestFit="1" customWidth="1"/>
    <col min="1337" max="1337" width="10.28515625" bestFit="1" customWidth="1"/>
    <col min="1338" max="1339" width="9.28515625" bestFit="1" customWidth="1"/>
    <col min="1341" max="1341" width="10.28515625" bestFit="1" customWidth="1"/>
    <col min="1342" max="1343" width="9.28515625" bestFit="1" customWidth="1"/>
    <col min="1345" max="1345" width="10.28515625" bestFit="1" customWidth="1"/>
    <col min="1346" max="1347" width="9.28515625" bestFit="1" customWidth="1"/>
    <col min="1349" max="1349" width="10.28515625" bestFit="1" customWidth="1"/>
    <col min="1350" max="1351" width="9.28515625" bestFit="1" customWidth="1"/>
    <col min="1353" max="1353" width="10.28515625" bestFit="1" customWidth="1"/>
    <col min="1354" max="1355" width="9.28515625" bestFit="1" customWidth="1"/>
    <col min="1357" max="1357" width="10.28515625" bestFit="1" customWidth="1"/>
    <col min="1358" max="1359" width="9.28515625" bestFit="1" customWidth="1"/>
    <col min="1361" max="1361" width="10.28515625" bestFit="1" customWidth="1"/>
    <col min="1362" max="1363" width="9.28515625" bestFit="1" customWidth="1"/>
    <col min="1365" max="1365" width="10.28515625" bestFit="1" customWidth="1"/>
    <col min="1366" max="1367" width="9.28515625" bestFit="1" customWidth="1"/>
    <col min="1369" max="1369" width="10.28515625" bestFit="1" customWidth="1"/>
    <col min="1370" max="1371" width="9.28515625" bestFit="1" customWidth="1"/>
    <col min="1373" max="1373" width="10.28515625" bestFit="1" customWidth="1"/>
    <col min="1374" max="1375" width="9.28515625" bestFit="1" customWidth="1"/>
    <col min="1377" max="1377" width="10.28515625" bestFit="1" customWidth="1"/>
    <col min="1378" max="1379" width="9.28515625" bestFit="1" customWidth="1"/>
    <col min="1381" max="1381" width="10.28515625" bestFit="1" customWidth="1"/>
    <col min="1382" max="1383" width="9.28515625" bestFit="1" customWidth="1"/>
    <col min="1385" max="1385" width="10.28515625" bestFit="1" customWidth="1"/>
    <col min="1386" max="1387" width="9.28515625" bestFit="1" customWidth="1"/>
    <col min="1389" max="1389" width="10.28515625" bestFit="1" customWidth="1"/>
    <col min="1390" max="1391" width="9.28515625" bestFit="1" customWidth="1"/>
    <col min="1393" max="1393" width="10.28515625" bestFit="1" customWidth="1"/>
    <col min="1394" max="1395" width="9.28515625" bestFit="1" customWidth="1"/>
    <col min="1397" max="1397" width="10.28515625" bestFit="1" customWidth="1"/>
    <col min="1398" max="1399" width="9.28515625" bestFit="1" customWidth="1"/>
    <col min="1401" max="1401" width="10.28515625" bestFit="1" customWidth="1"/>
    <col min="1402" max="1403" width="9.28515625" bestFit="1" customWidth="1"/>
    <col min="1405" max="1405" width="10.28515625" bestFit="1" customWidth="1"/>
    <col min="1406" max="1407" width="9.28515625" bestFit="1" customWidth="1"/>
    <col min="1409" max="1409" width="10.28515625" bestFit="1" customWidth="1"/>
    <col min="1410" max="1411" width="9.28515625" bestFit="1" customWidth="1"/>
    <col min="1413" max="1413" width="10.28515625" bestFit="1" customWidth="1"/>
    <col min="1414" max="1415" width="9.28515625" bestFit="1" customWidth="1"/>
    <col min="1417" max="1417" width="10.28515625" bestFit="1" customWidth="1"/>
    <col min="1418" max="1419" width="9.28515625" bestFit="1" customWidth="1"/>
    <col min="1421" max="1421" width="10.28515625" bestFit="1" customWidth="1"/>
    <col min="1422" max="1423" width="9.28515625" bestFit="1" customWidth="1"/>
    <col min="1425" max="1425" width="10.28515625" bestFit="1" customWidth="1"/>
    <col min="1426" max="1427" width="9.28515625" bestFit="1" customWidth="1"/>
    <col min="1429" max="1429" width="10.28515625" bestFit="1" customWidth="1"/>
    <col min="1430" max="1431" width="9.28515625" bestFit="1" customWidth="1"/>
    <col min="1433" max="1433" width="10.28515625" bestFit="1" customWidth="1"/>
    <col min="1434" max="1435" width="9.28515625" bestFit="1" customWidth="1"/>
    <col min="1437" max="1437" width="10.28515625" bestFit="1" customWidth="1"/>
    <col min="1438" max="1439" width="9.28515625" bestFit="1" customWidth="1"/>
    <col min="1441" max="1441" width="10.28515625" bestFit="1" customWidth="1"/>
    <col min="1442" max="1443" width="9.28515625" bestFit="1" customWidth="1"/>
    <col min="1445" max="1445" width="10.28515625" bestFit="1" customWidth="1"/>
    <col min="1446" max="1447" width="9.28515625" bestFit="1" customWidth="1"/>
    <col min="1449" max="1449" width="10.28515625" bestFit="1" customWidth="1"/>
    <col min="1450" max="1451" width="9.28515625" bestFit="1" customWidth="1"/>
    <col min="1453" max="1453" width="10.28515625" bestFit="1" customWidth="1"/>
    <col min="1454" max="1455" width="9.28515625" bestFit="1" customWidth="1"/>
    <col min="1457" max="1457" width="10.28515625" bestFit="1" customWidth="1"/>
    <col min="1458" max="1459" width="9.28515625" bestFit="1" customWidth="1"/>
    <col min="1461" max="1461" width="10.28515625" bestFit="1" customWidth="1"/>
    <col min="1462" max="1463" width="9.28515625" bestFit="1" customWidth="1"/>
    <col min="1465" max="1465" width="10.28515625" bestFit="1" customWidth="1"/>
    <col min="1466" max="1467" width="9.28515625" bestFit="1" customWidth="1"/>
    <col min="1469" max="1469" width="10.28515625" bestFit="1" customWidth="1"/>
    <col min="1470" max="1471" width="9.28515625" bestFit="1" customWidth="1"/>
    <col min="1473" max="1473" width="10.28515625" bestFit="1" customWidth="1"/>
    <col min="1474" max="1475" width="9.28515625" bestFit="1" customWidth="1"/>
    <col min="1477" max="1477" width="10.28515625" bestFit="1" customWidth="1"/>
    <col min="1478" max="1479" width="9.28515625" bestFit="1" customWidth="1"/>
    <col min="1481" max="1481" width="10.28515625" bestFit="1" customWidth="1"/>
    <col min="1482" max="1483" width="9.28515625" bestFit="1" customWidth="1"/>
    <col min="1485" max="1485" width="10.28515625" bestFit="1" customWidth="1"/>
    <col min="1486" max="1487" width="9.28515625" bestFit="1" customWidth="1"/>
    <col min="1489" max="1489" width="10.28515625" bestFit="1" customWidth="1"/>
    <col min="1490" max="1491" width="9.28515625" bestFit="1" customWidth="1"/>
    <col min="1493" max="1493" width="10.28515625" bestFit="1" customWidth="1"/>
    <col min="1494" max="1495" width="9.28515625" bestFit="1" customWidth="1"/>
    <col min="1497" max="1497" width="10.28515625" bestFit="1" customWidth="1"/>
    <col min="1498" max="1499" width="9.28515625" bestFit="1" customWidth="1"/>
    <col min="1501" max="1501" width="10.28515625" bestFit="1" customWidth="1"/>
    <col min="1502" max="1503" width="9.28515625" bestFit="1" customWidth="1"/>
    <col min="1505" max="1505" width="10.28515625" bestFit="1" customWidth="1"/>
    <col min="1506" max="1507" width="9.28515625" bestFit="1" customWidth="1"/>
    <col min="1509" max="1509" width="10.28515625" bestFit="1" customWidth="1"/>
    <col min="1510" max="1511" width="9.28515625" bestFit="1" customWidth="1"/>
    <col min="1513" max="1513" width="10.28515625" bestFit="1" customWidth="1"/>
    <col min="1514" max="1515" width="9.28515625" bestFit="1" customWidth="1"/>
    <col min="1517" max="1517" width="10.28515625" bestFit="1" customWidth="1"/>
    <col min="1518" max="1519" width="9.28515625" bestFit="1" customWidth="1"/>
    <col min="1521" max="1521" width="10.28515625" bestFit="1" customWidth="1"/>
    <col min="1522" max="1523" width="9.28515625" bestFit="1" customWidth="1"/>
    <col min="1525" max="1525" width="10.28515625" bestFit="1" customWidth="1"/>
    <col min="1526" max="1527" width="9.28515625" bestFit="1" customWidth="1"/>
    <col min="1529" max="1529" width="10.28515625" bestFit="1" customWidth="1"/>
    <col min="1530" max="1531" width="9.28515625" bestFit="1" customWidth="1"/>
    <col min="1533" max="1533" width="10.28515625" bestFit="1" customWidth="1"/>
    <col min="1534" max="1535" width="9.28515625" bestFit="1" customWidth="1"/>
    <col min="1537" max="1537" width="10.28515625" bestFit="1" customWidth="1"/>
    <col min="1538" max="1539" width="9.28515625" bestFit="1" customWidth="1"/>
    <col min="1541" max="1541" width="10.28515625" bestFit="1" customWidth="1"/>
    <col min="1542" max="1543" width="9.28515625" bestFit="1" customWidth="1"/>
    <col min="1545" max="1545" width="10.28515625" bestFit="1" customWidth="1"/>
    <col min="1546" max="1547" width="9.28515625" bestFit="1" customWidth="1"/>
    <col min="1549" max="1549" width="10.28515625" bestFit="1" customWidth="1"/>
    <col min="1550" max="1551" width="9.28515625" bestFit="1" customWidth="1"/>
    <col min="1553" max="1553" width="10.28515625" bestFit="1" customWidth="1"/>
    <col min="1554" max="1555" width="9.28515625" bestFit="1" customWidth="1"/>
    <col min="1557" max="1557" width="10.28515625" bestFit="1" customWidth="1"/>
    <col min="1558" max="1559" width="9.28515625" bestFit="1" customWidth="1"/>
    <col min="1561" max="1561" width="10.28515625" bestFit="1" customWidth="1"/>
    <col min="1562" max="1563" width="9.28515625" bestFit="1" customWidth="1"/>
    <col min="1565" max="1565" width="10.28515625" bestFit="1" customWidth="1"/>
    <col min="1566" max="1567" width="9.28515625" bestFit="1" customWidth="1"/>
    <col min="1569" max="1569" width="10.28515625" bestFit="1" customWidth="1"/>
    <col min="1570" max="1571" width="9.28515625" bestFit="1" customWidth="1"/>
    <col min="1573" max="1573" width="10.28515625" bestFit="1" customWidth="1"/>
    <col min="1574" max="1575" width="9.28515625" bestFit="1" customWidth="1"/>
    <col min="1577" max="1577" width="10.28515625" bestFit="1" customWidth="1"/>
    <col min="1578" max="1579" width="9.28515625" bestFit="1" customWidth="1"/>
    <col min="1581" max="1581" width="10.28515625" bestFit="1" customWidth="1"/>
    <col min="1582" max="1583" width="9.28515625" bestFit="1" customWidth="1"/>
    <col min="1585" max="1585" width="10.28515625" bestFit="1" customWidth="1"/>
    <col min="1586" max="1587" width="9.28515625" bestFit="1" customWidth="1"/>
    <col min="1589" max="1589" width="10.28515625" bestFit="1" customWidth="1"/>
    <col min="1590" max="1591" width="9.28515625" bestFit="1" customWidth="1"/>
    <col min="1593" max="1593" width="10.28515625" bestFit="1" customWidth="1"/>
    <col min="1594" max="1595" width="9.28515625" bestFit="1" customWidth="1"/>
    <col min="1597" max="1597" width="10.28515625" bestFit="1" customWidth="1"/>
    <col min="1598" max="1599" width="9.28515625" bestFit="1" customWidth="1"/>
    <col min="1601" max="1601" width="10.28515625" bestFit="1" customWidth="1"/>
    <col min="1602" max="1603" width="9.28515625" bestFit="1" customWidth="1"/>
    <col min="1605" max="1605" width="10.28515625" bestFit="1" customWidth="1"/>
    <col min="1606" max="1607" width="9.28515625" bestFit="1" customWidth="1"/>
    <col min="1609" max="1609" width="10.28515625" bestFit="1" customWidth="1"/>
    <col min="1610" max="1611" width="9.28515625" bestFit="1" customWidth="1"/>
    <col min="1613" max="1613" width="10.28515625" bestFit="1" customWidth="1"/>
    <col min="1614" max="1615" width="9.28515625" bestFit="1" customWidth="1"/>
    <col min="1617" max="1617" width="10.28515625" bestFit="1" customWidth="1"/>
    <col min="1618" max="1619" width="9.28515625" bestFit="1" customWidth="1"/>
    <col min="1621" max="1621" width="10.28515625" bestFit="1" customWidth="1"/>
    <col min="1622" max="1623" width="9.28515625" bestFit="1" customWidth="1"/>
    <col min="1625" max="1625" width="10.28515625" bestFit="1" customWidth="1"/>
    <col min="1626" max="1627" width="9.28515625" bestFit="1" customWidth="1"/>
    <col min="1629" max="1629" width="10.28515625" bestFit="1" customWidth="1"/>
    <col min="1630" max="1631" width="9.28515625" bestFit="1" customWidth="1"/>
    <col min="1633" max="1633" width="10.28515625" bestFit="1" customWidth="1"/>
    <col min="1634" max="1635" width="9.28515625" bestFit="1" customWidth="1"/>
    <col min="1637" max="1637" width="10.28515625" bestFit="1" customWidth="1"/>
    <col min="1638" max="1639" width="9.28515625" bestFit="1" customWidth="1"/>
    <col min="1641" max="1641" width="10.28515625" bestFit="1" customWidth="1"/>
    <col min="1642" max="1643" width="9.28515625" bestFit="1" customWidth="1"/>
    <col min="1645" max="1645" width="10.28515625" bestFit="1" customWidth="1"/>
    <col min="1646" max="1647" width="9.28515625" bestFit="1" customWidth="1"/>
    <col min="1649" max="1649" width="10.28515625" bestFit="1" customWidth="1"/>
    <col min="1650" max="1651" width="9.28515625" bestFit="1" customWidth="1"/>
    <col min="1653" max="1653" width="10.28515625" bestFit="1" customWidth="1"/>
    <col min="1654" max="1655" width="9.28515625" bestFit="1" customWidth="1"/>
    <col min="1657" max="1657" width="10.28515625" bestFit="1" customWidth="1"/>
    <col min="1658" max="1659" width="9.28515625" bestFit="1" customWidth="1"/>
    <col min="1661" max="1661" width="10.28515625" bestFit="1" customWidth="1"/>
    <col min="1662" max="1663" width="9.28515625" bestFit="1" customWidth="1"/>
    <col min="1665" max="1665" width="10.28515625" bestFit="1" customWidth="1"/>
    <col min="1666" max="1667" width="9.28515625" bestFit="1" customWidth="1"/>
    <col min="1669" max="1669" width="10.28515625" bestFit="1" customWidth="1"/>
    <col min="1670" max="1671" width="9.28515625" bestFit="1" customWidth="1"/>
    <col min="1673" max="1673" width="10.28515625" bestFit="1" customWidth="1"/>
    <col min="1674" max="1675" width="9.28515625" bestFit="1" customWidth="1"/>
    <col min="1677" max="1677" width="10.28515625" bestFit="1" customWidth="1"/>
    <col min="1678" max="1679" width="9.28515625" bestFit="1" customWidth="1"/>
    <col min="1681" max="1681" width="10.28515625" bestFit="1" customWidth="1"/>
    <col min="1682" max="1683" width="9.28515625" bestFit="1" customWidth="1"/>
    <col min="1685" max="1685" width="10.28515625" bestFit="1" customWidth="1"/>
    <col min="1686" max="1687" width="9.28515625" bestFit="1" customWidth="1"/>
    <col min="1689" max="1689" width="10.28515625" bestFit="1" customWidth="1"/>
    <col min="1690" max="1691" width="9.28515625" bestFit="1" customWidth="1"/>
    <col min="1693" max="1693" width="10.28515625" bestFit="1" customWidth="1"/>
    <col min="1694" max="1695" width="9.28515625" bestFit="1" customWidth="1"/>
    <col min="1697" max="1697" width="10.28515625" bestFit="1" customWidth="1"/>
    <col min="1698" max="1699" width="9.28515625" bestFit="1" customWidth="1"/>
    <col min="1701" max="1701" width="10.28515625" bestFit="1" customWidth="1"/>
    <col min="1702" max="1703" width="9.28515625" bestFit="1" customWidth="1"/>
    <col min="1705" max="1705" width="10.28515625" bestFit="1" customWidth="1"/>
    <col min="1706" max="1707" width="9.28515625" bestFit="1" customWidth="1"/>
    <col min="1709" max="1709" width="10.28515625" bestFit="1" customWidth="1"/>
    <col min="1710" max="1711" width="9.28515625" bestFit="1" customWidth="1"/>
    <col min="1713" max="1713" width="10.28515625" bestFit="1" customWidth="1"/>
    <col min="1714" max="1715" width="9.28515625" bestFit="1" customWidth="1"/>
    <col min="1717" max="1717" width="10.28515625" bestFit="1" customWidth="1"/>
    <col min="1718" max="1719" width="9.28515625" bestFit="1" customWidth="1"/>
    <col min="1721" max="1721" width="10.28515625" bestFit="1" customWidth="1"/>
    <col min="1722" max="1723" width="9.28515625" bestFit="1" customWidth="1"/>
    <col min="1725" max="1725" width="10.28515625" bestFit="1" customWidth="1"/>
    <col min="1726" max="1727" width="9.28515625" bestFit="1" customWidth="1"/>
    <col min="1729" max="1729" width="10.28515625" bestFit="1" customWidth="1"/>
    <col min="1730" max="1731" width="9.28515625" bestFit="1" customWidth="1"/>
    <col min="1733" max="1733" width="10.28515625" bestFit="1" customWidth="1"/>
    <col min="1734" max="1735" width="9.28515625" bestFit="1" customWidth="1"/>
    <col min="1737" max="1737" width="10.28515625" bestFit="1" customWidth="1"/>
    <col min="1738" max="1739" width="9.28515625" bestFit="1" customWidth="1"/>
    <col min="1741" max="1741" width="10.28515625" bestFit="1" customWidth="1"/>
    <col min="1742" max="1743" width="9.28515625" bestFit="1" customWidth="1"/>
    <col min="1745" max="1745" width="10.28515625" bestFit="1" customWidth="1"/>
    <col min="1746" max="1747" width="9.28515625" bestFit="1" customWidth="1"/>
    <col min="1749" max="1749" width="10.28515625" bestFit="1" customWidth="1"/>
    <col min="1750" max="1751" width="9.28515625" bestFit="1" customWidth="1"/>
    <col min="1753" max="1753" width="10.28515625" bestFit="1" customWidth="1"/>
    <col min="1754" max="1755" width="9.28515625" bestFit="1" customWidth="1"/>
    <col min="1757" max="1757" width="10.28515625" bestFit="1" customWidth="1"/>
    <col min="1758" max="1759" width="9.28515625" bestFit="1" customWidth="1"/>
    <col min="1761" max="1761" width="10.28515625" bestFit="1" customWidth="1"/>
    <col min="1762" max="1763" width="9.28515625" bestFit="1" customWidth="1"/>
    <col min="1765" max="1765" width="10.28515625" bestFit="1" customWidth="1"/>
    <col min="1766" max="1767" width="9.28515625" bestFit="1" customWidth="1"/>
    <col min="1769" max="1769" width="10.28515625" bestFit="1" customWidth="1"/>
    <col min="1770" max="1771" width="9.28515625" bestFit="1" customWidth="1"/>
    <col min="1773" max="1773" width="10.28515625" bestFit="1" customWidth="1"/>
    <col min="1774" max="1775" width="9.28515625" bestFit="1" customWidth="1"/>
    <col min="1777" max="1777" width="10.28515625" bestFit="1" customWidth="1"/>
    <col min="1778" max="1779" width="9.28515625" bestFit="1" customWidth="1"/>
    <col min="1781" max="1781" width="10.28515625" bestFit="1" customWidth="1"/>
    <col min="1782" max="1783" width="9.28515625" bestFit="1" customWidth="1"/>
    <col min="1785" max="1785" width="10.28515625" bestFit="1" customWidth="1"/>
    <col min="1786" max="1787" width="9.28515625" bestFit="1" customWidth="1"/>
    <col min="1789" max="1789" width="10.28515625" bestFit="1" customWidth="1"/>
    <col min="1790" max="1791" width="9.28515625" bestFit="1" customWidth="1"/>
    <col min="1793" max="1793" width="10.28515625" bestFit="1" customWidth="1"/>
    <col min="1794" max="1795" width="9.28515625" bestFit="1" customWidth="1"/>
    <col min="1797" max="1797" width="10.28515625" bestFit="1" customWidth="1"/>
    <col min="1798" max="1799" width="9.28515625" bestFit="1" customWidth="1"/>
    <col min="1801" max="1801" width="10.28515625" bestFit="1" customWidth="1"/>
    <col min="1802" max="1803" width="9.28515625" bestFit="1" customWidth="1"/>
    <col min="1805" max="1805" width="10.28515625" bestFit="1" customWidth="1"/>
    <col min="1806" max="1807" width="9.28515625" bestFit="1" customWidth="1"/>
    <col min="1809" max="1809" width="10.28515625" bestFit="1" customWidth="1"/>
    <col min="1810" max="1811" width="9.28515625" bestFit="1" customWidth="1"/>
    <col min="1813" max="1813" width="10.28515625" bestFit="1" customWidth="1"/>
    <col min="1814" max="1815" width="9.28515625" bestFit="1" customWidth="1"/>
    <col min="1817" max="1817" width="10.28515625" bestFit="1" customWidth="1"/>
    <col min="1818" max="1819" width="9.28515625" bestFit="1" customWidth="1"/>
    <col min="1821" max="1821" width="10.28515625" bestFit="1" customWidth="1"/>
    <col min="1822" max="1823" width="9.28515625" bestFit="1" customWidth="1"/>
    <col min="1825" max="1825" width="10.28515625" bestFit="1" customWidth="1"/>
    <col min="1826" max="1827" width="9.28515625" bestFit="1" customWidth="1"/>
    <col min="1829" max="1829" width="10.28515625" bestFit="1" customWidth="1"/>
    <col min="1830" max="1831" width="9.28515625" bestFit="1" customWidth="1"/>
    <col min="1833" max="1833" width="10.28515625" bestFit="1" customWidth="1"/>
    <col min="1834" max="1835" width="9.28515625" bestFit="1" customWidth="1"/>
    <col min="1837" max="1837" width="10.28515625" bestFit="1" customWidth="1"/>
    <col min="1838" max="1839" width="9.28515625" bestFit="1" customWidth="1"/>
    <col min="1841" max="1841" width="10.28515625" bestFit="1" customWidth="1"/>
    <col min="1842" max="1843" width="9.28515625" bestFit="1" customWidth="1"/>
    <col min="1845" max="1845" width="10.28515625" bestFit="1" customWidth="1"/>
    <col min="1846" max="1847" width="9.28515625" bestFit="1" customWidth="1"/>
    <col min="1849" max="1849" width="10.28515625" bestFit="1" customWidth="1"/>
    <col min="1850" max="1851" width="9.28515625" bestFit="1" customWidth="1"/>
    <col min="1853" max="1853" width="10.28515625" bestFit="1" customWidth="1"/>
    <col min="1854" max="1855" width="9.28515625" bestFit="1" customWidth="1"/>
    <col min="1857" max="1857" width="10.28515625" bestFit="1" customWidth="1"/>
    <col min="1858" max="1859" width="9.28515625" bestFit="1" customWidth="1"/>
    <col min="1861" max="1861" width="10.28515625" bestFit="1" customWidth="1"/>
    <col min="1862" max="1863" width="9.28515625" bestFit="1" customWidth="1"/>
    <col min="1865" max="1865" width="10.28515625" bestFit="1" customWidth="1"/>
    <col min="1866" max="1867" width="9.28515625" bestFit="1" customWidth="1"/>
    <col min="1869" max="1869" width="10.28515625" bestFit="1" customWidth="1"/>
    <col min="1870" max="1871" width="9.28515625" bestFit="1" customWidth="1"/>
    <col min="1873" max="1873" width="10.28515625" bestFit="1" customWidth="1"/>
    <col min="1874" max="1875" width="9.28515625" bestFit="1" customWidth="1"/>
    <col min="1877" max="1877" width="10.28515625" bestFit="1" customWidth="1"/>
    <col min="1878" max="1879" width="9.28515625" bestFit="1" customWidth="1"/>
    <col min="1881" max="1881" width="10.28515625" bestFit="1" customWidth="1"/>
    <col min="1882" max="1883" width="9.28515625" bestFit="1" customWidth="1"/>
    <col min="1885" max="1885" width="10.28515625" bestFit="1" customWidth="1"/>
    <col min="1886" max="1887" width="9.28515625" bestFit="1" customWidth="1"/>
    <col min="1889" max="1889" width="10.28515625" bestFit="1" customWidth="1"/>
    <col min="1890" max="1891" width="9.28515625" bestFit="1" customWidth="1"/>
    <col min="1893" max="1893" width="10.28515625" bestFit="1" customWidth="1"/>
    <col min="1894" max="1895" width="9.28515625" bestFit="1" customWidth="1"/>
    <col min="1897" max="1897" width="10.28515625" bestFit="1" customWidth="1"/>
    <col min="1898" max="1899" width="9.28515625" bestFit="1" customWidth="1"/>
    <col min="1901" max="1901" width="10.28515625" bestFit="1" customWidth="1"/>
    <col min="1902" max="1903" width="9.28515625" bestFit="1" customWidth="1"/>
    <col min="1905" max="1905" width="10.28515625" bestFit="1" customWidth="1"/>
    <col min="1906" max="1907" width="9.28515625" bestFit="1" customWidth="1"/>
    <col min="1909" max="1909" width="10.28515625" bestFit="1" customWidth="1"/>
    <col min="1910" max="1911" width="9.28515625" bestFit="1" customWidth="1"/>
    <col min="1913" max="1913" width="10.28515625" bestFit="1" customWidth="1"/>
    <col min="1914" max="1915" width="9.28515625" bestFit="1" customWidth="1"/>
    <col min="1917" max="1917" width="10.28515625" bestFit="1" customWidth="1"/>
    <col min="1918" max="1919" width="9.28515625" bestFit="1" customWidth="1"/>
    <col min="1921" max="1921" width="10.28515625" bestFit="1" customWidth="1"/>
    <col min="1922" max="1923" width="9.28515625" bestFit="1" customWidth="1"/>
    <col min="1925" max="1925" width="10.28515625" bestFit="1" customWidth="1"/>
    <col min="1926" max="1927" width="9.28515625" bestFit="1" customWidth="1"/>
    <col min="1929" max="1929" width="10.28515625" bestFit="1" customWidth="1"/>
    <col min="1930" max="1931" width="9.28515625" bestFit="1" customWidth="1"/>
    <col min="1933" max="1933" width="10.28515625" bestFit="1" customWidth="1"/>
    <col min="1934" max="1935" width="9.28515625" bestFit="1" customWidth="1"/>
    <col min="1937" max="1937" width="10.28515625" bestFit="1" customWidth="1"/>
    <col min="1938" max="1939" width="9.28515625" bestFit="1" customWidth="1"/>
    <col min="1941" max="1941" width="10.28515625" bestFit="1" customWidth="1"/>
    <col min="1942" max="1943" width="9.28515625" bestFit="1" customWidth="1"/>
    <col min="1945" max="1945" width="10.28515625" bestFit="1" customWidth="1"/>
    <col min="1946" max="1947" width="9.28515625" bestFit="1" customWidth="1"/>
    <col min="1949" max="1949" width="10.28515625" bestFit="1" customWidth="1"/>
    <col min="1950" max="1951" width="9.28515625" bestFit="1" customWidth="1"/>
    <col min="1953" max="1953" width="10.28515625" bestFit="1" customWidth="1"/>
    <col min="1954" max="1955" width="9.28515625" bestFit="1" customWidth="1"/>
    <col min="1957" max="1957" width="10.28515625" bestFit="1" customWidth="1"/>
    <col min="1958" max="1959" width="9.28515625" bestFit="1" customWidth="1"/>
    <col min="1961" max="1961" width="10.28515625" bestFit="1" customWidth="1"/>
    <col min="1962" max="1963" width="9.28515625" bestFit="1" customWidth="1"/>
    <col min="1965" max="1965" width="10.28515625" bestFit="1" customWidth="1"/>
    <col min="1966" max="1967" width="9.28515625" bestFit="1" customWidth="1"/>
    <col min="1969" max="1969" width="10.28515625" bestFit="1" customWidth="1"/>
    <col min="1970" max="1971" width="9.28515625" bestFit="1" customWidth="1"/>
    <col min="1973" max="1973" width="10.28515625" bestFit="1" customWidth="1"/>
    <col min="1974" max="1975" width="9.28515625" bestFit="1" customWidth="1"/>
    <col min="1977" max="1977" width="10.28515625" bestFit="1" customWidth="1"/>
    <col min="1978" max="1979" width="9.28515625" bestFit="1" customWidth="1"/>
    <col min="1981" max="1981" width="10.28515625" bestFit="1" customWidth="1"/>
    <col min="1982" max="1983" width="9.28515625" bestFit="1" customWidth="1"/>
    <col min="1985" max="1985" width="10.28515625" bestFit="1" customWidth="1"/>
    <col min="1986" max="1987" width="9.28515625" bestFit="1" customWidth="1"/>
    <col min="1989" max="1989" width="10.28515625" bestFit="1" customWidth="1"/>
    <col min="1990" max="1991" width="9.28515625" bestFit="1" customWidth="1"/>
    <col min="1993" max="1993" width="10.28515625" bestFit="1" customWidth="1"/>
    <col min="1994" max="1995" width="9.28515625" bestFit="1" customWidth="1"/>
    <col min="1997" max="1997" width="10.28515625" bestFit="1" customWidth="1"/>
    <col min="1998" max="1999" width="9.28515625" bestFit="1" customWidth="1"/>
    <col min="2001" max="2001" width="10.28515625" bestFit="1" customWidth="1"/>
    <col min="2002" max="2003" width="9.28515625" bestFit="1" customWidth="1"/>
    <col min="2005" max="2005" width="10.28515625" bestFit="1" customWidth="1"/>
    <col min="2006" max="2007" width="9.28515625" bestFit="1" customWidth="1"/>
    <col min="2009" max="2009" width="10.28515625" bestFit="1" customWidth="1"/>
    <col min="2010" max="2011" width="9.28515625" bestFit="1" customWidth="1"/>
    <col min="2013" max="2013" width="10.28515625" bestFit="1" customWidth="1"/>
    <col min="2014" max="2015" width="9.28515625" bestFit="1" customWidth="1"/>
    <col min="2017" max="2017" width="10.28515625" bestFit="1" customWidth="1"/>
    <col min="2018" max="2019" width="9.28515625" bestFit="1" customWidth="1"/>
    <col min="2021" max="2021" width="10.28515625" bestFit="1" customWidth="1"/>
    <col min="2022" max="2023" width="9.28515625" bestFit="1" customWidth="1"/>
    <col min="2025" max="2025" width="10.28515625" bestFit="1" customWidth="1"/>
    <col min="2026" max="2027" width="9.28515625" bestFit="1" customWidth="1"/>
    <col min="2029" max="2029" width="10.28515625" bestFit="1" customWidth="1"/>
    <col min="2030" max="2031" width="9.28515625" bestFit="1" customWidth="1"/>
    <col min="2033" max="2033" width="10.28515625" bestFit="1" customWidth="1"/>
    <col min="2034" max="2035" width="9.28515625" bestFit="1" customWidth="1"/>
    <col min="2037" max="2037" width="10.28515625" bestFit="1" customWidth="1"/>
    <col min="2038" max="2039" width="9.28515625" bestFit="1" customWidth="1"/>
    <col min="2041" max="2041" width="10.28515625" bestFit="1" customWidth="1"/>
    <col min="2042" max="2043" width="9.28515625" bestFit="1" customWidth="1"/>
    <col min="2045" max="2045" width="10.28515625" bestFit="1" customWidth="1"/>
    <col min="2046" max="2047" width="9.28515625" bestFit="1" customWidth="1"/>
    <col min="2049" max="2049" width="10.28515625" bestFit="1" customWidth="1"/>
    <col min="2050" max="2051" width="9.28515625" bestFit="1" customWidth="1"/>
    <col min="2053" max="2053" width="10.28515625" bestFit="1" customWidth="1"/>
    <col min="2054" max="2055" width="9.28515625" bestFit="1" customWidth="1"/>
    <col min="2057" max="2057" width="10.28515625" bestFit="1" customWidth="1"/>
    <col min="2058" max="2059" width="9.28515625" bestFit="1" customWidth="1"/>
    <col min="2061" max="2061" width="10.28515625" bestFit="1" customWidth="1"/>
    <col min="2062" max="2063" width="9.28515625" bestFit="1" customWidth="1"/>
    <col min="2065" max="2065" width="10.28515625" bestFit="1" customWidth="1"/>
    <col min="2066" max="2067" width="9.28515625" bestFit="1" customWidth="1"/>
    <col min="2069" max="2069" width="10.28515625" bestFit="1" customWidth="1"/>
    <col min="2070" max="2071" width="9.28515625" bestFit="1" customWidth="1"/>
    <col min="2073" max="2073" width="10.28515625" bestFit="1" customWidth="1"/>
    <col min="2074" max="2075" width="9.28515625" bestFit="1" customWidth="1"/>
    <col min="2077" max="2077" width="10.28515625" bestFit="1" customWidth="1"/>
    <col min="2078" max="2079" width="9.28515625" bestFit="1" customWidth="1"/>
    <col min="2081" max="2081" width="10.28515625" bestFit="1" customWidth="1"/>
    <col min="2082" max="2083" width="9.28515625" bestFit="1" customWidth="1"/>
    <col min="2085" max="2085" width="10.28515625" bestFit="1" customWidth="1"/>
    <col min="2086" max="2087" width="9.28515625" bestFit="1" customWidth="1"/>
    <col min="2089" max="2089" width="10.28515625" bestFit="1" customWidth="1"/>
    <col min="2090" max="2091" width="9.28515625" bestFit="1" customWidth="1"/>
    <col min="2093" max="2093" width="10.28515625" bestFit="1" customWidth="1"/>
    <col min="2094" max="2095" width="9.28515625" bestFit="1" customWidth="1"/>
    <col min="2097" max="2097" width="10.28515625" bestFit="1" customWidth="1"/>
    <col min="2098" max="2099" width="9.28515625" bestFit="1" customWidth="1"/>
    <col min="2101" max="2101" width="10.28515625" bestFit="1" customWidth="1"/>
    <col min="2102" max="2103" width="9.28515625" bestFit="1" customWidth="1"/>
    <col min="2105" max="2105" width="10.28515625" bestFit="1" customWidth="1"/>
    <col min="2106" max="2107" width="9.28515625" bestFit="1" customWidth="1"/>
    <col min="2109" max="2109" width="10.28515625" bestFit="1" customWidth="1"/>
    <col min="2110" max="2111" width="9.28515625" bestFit="1" customWidth="1"/>
    <col min="2113" max="2113" width="10.28515625" bestFit="1" customWidth="1"/>
    <col min="2114" max="2115" width="9.28515625" bestFit="1" customWidth="1"/>
    <col min="2117" max="2117" width="10.28515625" bestFit="1" customWidth="1"/>
    <col min="2118" max="2119" width="9.28515625" bestFit="1" customWidth="1"/>
    <col min="2121" max="2121" width="10.28515625" bestFit="1" customWidth="1"/>
    <col min="2122" max="2123" width="9.28515625" bestFit="1" customWidth="1"/>
    <col min="2125" max="2125" width="10.28515625" bestFit="1" customWidth="1"/>
    <col min="2126" max="2127" width="9.28515625" bestFit="1" customWidth="1"/>
    <col min="2129" max="2129" width="10.28515625" bestFit="1" customWidth="1"/>
    <col min="2130" max="2131" width="9.28515625" bestFit="1" customWidth="1"/>
    <col min="2133" max="2133" width="10.28515625" bestFit="1" customWidth="1"/>
    <col min="2134" max="2135" width="9.28515625" bestFit="1" customWidth="1"/>
    <col min="2137" max="2137" width="10.28515625" bestFit="1" customWidth="1"/>
    <col min="2138" max="2139" width="9.28515625" bestFit="1" customWidth="1"/>
    <col min="2141" max="2141" width="10.28515625" bestFit="1" customWidth="1"/>
    <col min="2142" max="2143" width="9.28515625" bestFit="1" customWidth="1"/>
    <col min="2145" max="2145" width="10.28515625" bestFit="1" customWidth="1"/>
    <col min="2146" max="2147" width="9.28515625" bestFit="1" customWidth="1"/>
    <col min="2149" max="2149" width="10.28515625" bestFit="1" customWidth="1"/>
    <col min="2150" max="2151" width="9.28515625" bestFit="1" customWidth="1"/>
    <col min="2153" max="2153" width="10.28515625" bestFit="1" customWidth="1"/>
    <col min="2154" max="2155" width="9.28515625" bestFit="1" customWidth="1"/>
    <col min="2157" max="2157" width="10.28515625" bestFit="1" customWidth="1"/>
    <col min="2158" max="2159" width="9.28515625" bestFit="1" customWidth="1"/>
    <col min="2161" max="2161" width="10.28515625" bestFit="1" customWidth="1"/>
    <col min="2162" max="2163" width="9.28515625" bestFit="1" customWidth="1"/>
    <col min="2165" max="2165" width="10.28515625" bestFit="1" customWidth="1"/>
    <col min="2166" max="2167" width="9.28515625" bestFit="1" customWidth="1"/>
    <col min="2169" max="2169" width="10.28515625" bestFit="1" customWidth="1"/>
    <col min="2170" max="2171" width="9.28515625" bestFit="1" customWidth="1"/>
    <col min="2173" max="2173" width="10.28515625" bestFit="1" customWidth="1"/>
    <col min="2174" max="2175" width="9.28515625" bestFit="1" customWidth="1"/>
    <col min="2177" max="2177" width="10.28515625" bestFit="1" customWidth="1"/>
    <col min="2178" max="2179" width="9.28515625" bestFit="1" customWidth="1"/>
    <col min="2181" max="2181" width="10.28515625" bestFit="1" customWidth="1"/>
    <col min="2182" max="2183" width="9.28515625" bestFit="1" customWidth="1"/>
    <col min="2185" max="2185" width="10.28515625" bestFit="1" customWidth="1"/>
    <col min="2186" max="2187" width="9.28515625" bestFit="1" customWidth="1"/>
    <col min="2189" max="2189" width="10.28515625" bestFit="1" customWidth="1"/>
    <col min="2190" max="2191" width="9.28515625" bestFit="1" customWidth="1"/>
    <col min="2193" max="2193" width="10.28515625" bestFit="1" customWidth="1"/>
    <col min="2194" max="2195" width="9.28515625" bestFit="1" customWidth="1"/>
    <col min="2197" max="2197" width="10.28515625" bestFit="1" customWidth="1"/>
    <col min="2198" max="2199" width="9.28515625" bestFit="1" customWidth="1"/>
    <col min="2201" max="2201" width="10.28515625" bestFit="1" customWidth="1"/>
    <col min="2202" max="2203" width="9.28515625" bestFit="1" customWidth="1"/>
    <col min="2205" max="2205" width="10.28515625" bestFit="1" customWidth="1"/>
    <col min="2206" max="2207" width="9.28515625" bestFit="1" customWidth="1"/>
    <col min="2209" max="2209" width="10.28515625" bestFit="1" customWidth="1"/>
    <col min="2210" max="2211" width="9.28515625" bestFit="1" customWidth="1"/>
    <col min="2213" max="2213" width="10.28515625" bestFit="1" customWidth="1"/>
    <col min="2214" max="2215" width="9.28515625" bestFit="1" customWidth="1"/>
    <col min="2217" max="2217" width="10.28515625" bestFit="1" customWidth="1"/>
    <col min="2218" max="2219" width="9.28515625" bestFit="1" customWidth="1"/>
    <col min="2221" max="2221" width="10.28515625" bestFit="1" customWidth="1"/>
    <col min="2222" max="2223" width="9.28515625" bestFit="1" customWidth="1"/>
    <col min="2225" max="2225" width="10.28515625" bestFit="1" customWidth="1"/>
    <col min="2226" max="2227" width="9.28515625" bestFit="1" customWidth="1"/>
    <col min="2229" max="2229" width="10.28515625" bestFit="1" customWidth="1"/>
    <col min="2230" max="2231" width="9.28515625" bestFit="1" customWidth="1"/>
    <col min="2233" max="2233" width="10.28515625" bestFit="1" customWidth="1"/>
    <col min="2234" max="2235" width="9.28515625" bestFit="1" customWidth="1"/>
    <col min="2237" max="2237" width="10.28515625" bestFit="1" customWidth="1"/>
    <col min="2238" max="2239" width="9.28515625" bestFit="1" customWidth="1"/>
    <col min="2241" max="2241" width="10.28515625" bestFit="1" customWidth="1"/>
    <col min="2242" max="2243" width="9.28515625" bestFit="1" customWidth="1"/>
    <col min="2245" max="2245" width="10.28515625" bestFit="1" customWidth="1"/>
    <col min="2246" max="2247" width="9.28515625" bestFit="1" customWidth="1"/>
    <col min="2249" max="2249" width="10.28515625" bestFit="1" customWidth="1"/>
    <col min="2250" max="2251" width="9.28515625" bestFit="1" customWidth="1"/>
    <col min="2253" max="2253" width="10.28515625" bestFit="1" customWidth="1"/>
    <col min="2254" max="2255" width="9.28515625" bestFit="1" customWidth="1"/>
    <col min="2257" max="2257" width="10.28515625" bestFit="1" customWidth="1"/>
    <col min="2258" max="2259" width="9.28515625" bestFit="1" customWidth="1"/>
    <col min="2261" max="2261" width="10.28515625" bestFit="1" customWidth="1"/>
    <col min="2262" max="2263" width="9.28515625" bestFit="1" customWidth="1"/>
    <col min="2265" max="2265" width="10.28515625" bestFit="1" customWidth="1"/>
    <col min="2266" max="2267" width="9.28515625" bestFit="1" customWidth="1"/>
    <col min="2269" max="2269" width="10.28515625" bestFit="1" customWidth="1"/>
    <col min="2270" max="2271" width="9.28515625" bestFit="1" customWidth="1"/>
    <col min="2273" max="2273" width="10.28515625" bestFit="1" customWidth="1"/>
    <col min="2274" max="2275" width="9.28515625" bestFit="1" customWidth="1"/>
    <col min="2277" max="2277" width="10.28515625" bestFit="1" customWidth="1"/>
    <col min="2278" max="2279" width="9.28515625" bestFit="1" customWidth="1"/>
    <col min="2281" max="2281" width="10.28515625" bestFit="1" customWidth="1"/>
    <col min="2282" max="2283" width="9.28515625" bestFit="1" customWidth="1"/>
    <col min="2285" max="2285" width="10.28515625" bestFit="1" customWidth="1"/>
    <col min="2286" max="2287" width="9.28515625" bestFit="1" customWidth="1"/>
    <col min="2289" max="2289" width="10.28515625" bestFit="1" customWidth="1"/>
    <col min="2290" max="2291" width="9.28515625" bestFit="1" customWidth="1"/>
    <col min="2293" max="2293" width="10.28515625" bestFit="1" customWidth="1"/>
    <col min="2294" max="2295" width="9.28515625" bestFit="1" customWidth="1"/>
    <col min="2297" max="2297" width="10.28515625" bestFit="1" customWidth="1"/>
    <col min="2298" max="2299" width="9.28515625" bestFit="1" customWidth="1"/>
    <col min="2301" max="2301" width="10.28515625" bestFit="1" customWidth="1"/>
    <col min="2302" max="2303" width="9.28515625" bestFit="1" customWidth="1"/>
    <col min="2305" max="2305" width="10.28515625" bestFit="1" customWidth="1"/>
    <col min="2306" max="2307" width="9.28515625" bestFit="1" customWidth="1"/>
    <col min="2309" max="2309" width="10.28515625" bestFit="1" customWidth="1"/>
    <col min="2310" max="2311" width="9.28515625" bestFit="1" customWidth="1"/>
    <col min="2313" max="2313" width="10.28515625" bestFit="1" customWidth="1"/>
    <col min="2314" max="2315" width="9.28515625" bestFit="1" customWidth="1"/>
    <col min="2317" max="2317" width="10.28515625" bestFit="1" customWidth="1"/>
    <col min="2318" max="2319" width="9.28515625" bestFit="1" customWidth="1"/>
    <col min="2321" max="2321" width="10.28515625" bestFit="1" customWidth="1"/>
    <col min="2322" max="2323" width="9.28515625" bestFit="1" customWidth="1"/>
    <col min="2325" max="2325" width="10.28515625" bestFit="1" customWidth="1"/>
    <col min="2326" max="2327" width="9.28515625" bestFit="1" customWidth="1"/>
    <col min="2329" max="2329" width="10.28515625" bestFit="1" customWidth="1"/>
    <col min="2330" max="2331" width="9.28515625" bestFit="1" customWidth="1"/>
    <col min="2333" max="2333" width="10.28515625" bestFit="1" customWidth="1"/>
    <col min="2334" max="2335" width="9.28515625" bestFit="1" customWidth="1"/>
    <col min="2337" max="2337" width="10.28515625" bestFit="1" customWidth="1"/>
    <col min="2338" max="2339" width="9.28515625" bestFit="1" customWidth="1"/>
    <col min="2341" max="2341" width="10.28515625" bestFit="1" customWidth="1"/>
    <col min="2342" max="2343" width="9.28515625" bestFit="1" customWidth="1"/>
    <col min="2345" max="2345" width="10.28515625" bestFit="1" customWidth="1"/>
    <col min="2346" max="2347" width="9.28515625" bestFit="1" customWidth="1"/>
    <col min="2349" max="2349" width="10.28515625" bestFit="1" customWidth="1"/>
    <col min="2350" max="2351" width="9.28515625" bestFit="1" customWidth="1"/>
    <col min="2353" max="2353" width="10.28515625" bestFit="1" customWidth="1"/>
    <col min="2354" max="2355" width="9.28515625" bestFit="1" customWidth="1"/>
    <col min="2357" max="2357" width="10.28515625" bestFit="1" customWidth="1"/>
    <col min="2358" max="2359" width="9.28515625" bestFit="1" customWidth="1"/>
    <col min="2361" max="2361" width="10.28515625" bestFit="1" customWidth="1"/>
    <col min="2362" max="2363" width="9.28515625" bestFit="1" customWidth="1"/>
    <col min="2365" max="2365" width="10.28515625" bestFit="1" customWidth="1"/>
    <col min="2366" max="2367" width="9.28515625" bestFit="1" customWidth="1"/>
    <col min="2369" max="2369" width="10.28515625" bestFit="1" customWidth="1"/>
    <col min="2370" max="2371" width="9.28515625" bestFit="1" customWidth="1"/>
    <col min="2373" max="2373" width="10.28515625" bestFit="1" customWidth="1"/>
    <col min="2374" max="2375" width="9.28515625" bestFit="1" customWidth="1"/>
    <col min="2377" max="2377" width="10.28515625" bestFit="1" customWidth="1"/>
    <col min="2378" max="2379" width="9.28515625" bestFit="1" customWidth="1"/>
    <col min="2381" max="2381" width="10.28515625" bestFit="1" customWidth="1"/>
    <col min="2382" max="2383" width="9.28515625" bestFit="1" customWidth="1"/>
    <col min="2385" max="2385" width="10.28515625" bestFit="1" customWidth="1"/>
    <col min="2386" max="2387" width="9.28515625" bestFit="1" customWidth="1"/>
    <col min="2389" max="2389" width="10.28515625" bestFit="1" customWidth="1"/>
    <col min="2390" max="2391" width="9.28515625" bestFit="1" customWidth="1"/>
    <col min="2393" max="2393" width="10.28515625" bestFit="1" customWidth="1"/>
    <col min="2394" max="2395" width="9.28515625" bestFit="1" customWidth="1"/>
    <col min="2397" max="2397" width="10.28515625" bestFit="1" customWidth="1"/>
    <col min="2398" max="2399" width="9.28515625" bestFit="1" customWidth="1"/>
    <col min="2401" max="2401" width="10.28515625" bestFit="1" customWidth="1"/>
    <col min="2402" max="2403" width="9.28515625" bestFit="1" customWidth="1"/>
    <col min="2405" max="2405" width="10.28515625" bestFit="1" customWidth="1"/>
    <col min="2406" max="2407" width="9.28515625" bestFit="1" customWidth="1"/>
    <col min="2409" max="2409" width="10.28515625" bestFit="1" customWidth="1"/>
    <col min="2410" max="2411" width="9.28515625" bestFit="1" customWidth="1"/>
    <col min="2413" max="2413" width="10.28515625" bestFit="1" customWidth="1"/>
    <col min="2414" max="2415" width="9.28515625" bestFit="1" customWidth="1"/>
    <col min="2417" max="2417" width="10.28515625" bestFit="1" customWidth="1"/>
    <col min="2418" max="2419" width="9.28515625" bestFit="1" customWidth="1"/>
    <col min="2421" max="2421" width="10.28515625" bestFit="1" customWidth="1"/>
    <col min="2422" max="2423" width="9.28515625" bestFit="1" customWidth="1"/>
    <col min="2425" max="2425" width="10.28515625" bestFit="1" customWidth="1"/>
    <col min="2426" max="2427" width="9.28515625" bestFit="1" customWidth="1"/>
    <col min="2429" max="2429" width="10.28515625" bestFit="1" customWidth="1"/>
    <col min="2430" max="2431" width="9.28515625" bestFit="1" customWidth="1"/>
    <col min="2433" max="2433" width="10.28515625" bestFit="1" customWidth="1"/>
    <col min="2434" max="2435" width="9.28515625" bestFit="1" customWidth="1"/>
    <col min="2437" max="2437" width="10.28515625" bestFit="1" customWidth="1"/>
    <col min="2438" max="2439" width="9.28515625" bestFit="1" customWidth="1"/>
    <col min="2441" max="2441" width="10.28515625" bestFit="1" customWidth="1"/>
    <col min="2442" max="2443" width="9.28515625" bestFit="1" customWidth="1"/>
    <col min="2445" max="2445" width="10.28515625" bestFit="1" customWidth="1"/>
    <col min="2446" max="2447" width="9.28515625" bestFit="1" customWidth="1"/>
    <col min="2449" max="2449" width="10.28515625" bestFit="1" customWidth="1"/>
    <col min="2450" max="2451" width="9.28515625" bestFit="1" customWidth="1"/>
    <col min="2453" max="2453" width="10.28515625" bestFit="1" customWidth="1"/>
    <col min="2454" max="2455" width="9.28515625" bestFit="1" customWidth="1"/>
    <col min="2457" max="2457" width="10.28515625" bestFit="1" customWidth="1"/>
    <col min="2458" max="2459" width="9.28515625" bestFit="1" customWidth="1"/>
    <col min="2461" max="2461" width="10.28515625" bestFit="1" customWidth="1"/>
    <col min="2462" max="2463" width="9.28515625" bestFit="1" customWidth="1"/>
    <col min="2465" max="2465" width="10.28515625" bestFit="1" customWidth="1"/>
    <col min="2466" max="2467" width="9.28515625" bestFit="1" customWidth="1"/>
    <col min="2469" max="2469" width="10.28515625" bestFit="1" customWidth="1"/>
    <col min="2470" max="2471" width="9.28515625" bestFit="1" customWidth="1"/>
    <col min="2473" max="2473" width="10.28515625" bestFit="1" customWidth="1"/>
    <col min="2474" max="2475" width="9.28515625" bestFit="1" customWidth="1"/>
    <col min="2477" max="2477" width="10.28515625" bestFit="1" customWidth="1"/>
    <col min="2478" max="2479" width="9.28515625" bestFit="1" customWidth="1"/>
    <col min="2481" max="2481" width="10.28515625" bestFit="1" customWidth="1"/>
    <col min="2482" max="2483" width="9.28515625" bestFit="1" customWidth="1"/>
    <col min="2485" max="2485" width="10.28515625" bestFit="1" customWidth="1"/>
    <col min="2486" max="2487" width="9.28515625" bestFit="1" customWidth="1"/>
    <col min="2489" max="2489" width="10.28515625" bestFit="1" customWidth="1"/>
    <col min="2490" max="2491" width="9.28515625" bestFit="1" customWidth="1"/>
    <col min="2493" max="2493" width="10.28515625" bestFit="1" customWidth="1"/>
    <col min="2494" max="2495" width="9.28515625" bestFit="1" customWidth="1"/>
    <col min="2497" max="2497" width="10.28515625" bestFit="1" customWidth="1"/>
    <col min="2498" max="2499" width="9.28515625" bestFit="1" customWidth="1"/>
    <col min="2501" max="2501" width="10.28515625" bestFit="1" customWidth="1"/>
    <col min="2502" max="2503" width="9.28515625" bestFit="1" customWidth="1"/>
    <col min="2505" max="2505" width="10.28515625" bestFit="1" customWidth="1"/>
    <col min="2506" max="2507" width="9.28515625" bestFit="1" customWidth="1"/>
    <col min="2509" max="2509" width="10.28515625" bestFit="1" customWidth="1"/>
    <col min="2510" max="2511" width="9.28515625" bestFit="1" customWidth="1"/>
    <col min="2513" max="2513" width="10.28515625" bestFit="1" customWidth="1"/>
    <col min="2514" max="2515" width="9.28515625" bestFit="1" customWidth="1"/>
    <col min="2517" max="2517" width="10.28515625" bestFit="1" customWidth="1"/>
    <col min="2518" max="2519" width="9.28515625" bestFit="1" customWidth="1"/>
    <col min="2521" max="2521" width="10.28515625" bestFit="1" customWidth="1"/>
    <col min="2522" max="2523" width="9.28515625" bestFit="1" customWidth="1"/>
    <col min="2525" max="2525" width="10.28515625" bestFit="1" customWidth="1"/>
    <col min="2526" max="2527" width="9.28515625" bestFit="1" customWidth="1"/>
    <col min="2529" max="2529" width="10.28515625" bestFit="1" customWidth="1"/>
    <col min="2530" max="2531" width="9.28515625" bestFit="1" customWidth="1"/>
    <col min="2533" max="2533" width="10.28515625" bestFit="1" customWidth="1"/>
    <col min="2534" max="2535" width="9.28515625" bestFit="1" customWidth="1"/>
    <col min="2537" max="2537" width="10.28515625" bestFit="1" customWidth="1"/>
    <col min="2538" max="2539" width="9.28515625" bestFit="1" customWidth="1"/>
    <col min="2541" max="2541" width="10.28515625" bestFit="1" customWidth="1"/>
    <col min="2542" max="2543" width="9.28515625" bestFit="1" customWidth="1"/>
    <col min="2545" max="2545" width="10.28515625" bestFit="1" customWidth="1"/>
    <col min="2546" max="2547" width="9.28515625" bestFit="1" customWidth="1"/>
    <col min="2549" max="2549" width="10.28515625" bestFit="1" customWidth="1"/>
    <col min="2550" max="2551" width="9.28515625" bestFit="1" customWidth="1"/>
    <col min="2553" max="2553" width="10.28515625" bestFit="1" customWidth="1"/>
    <col min="2554" max="2555" width="9.28515625" bestFit="1" customWidth="1"/>
    <col min="2557" max="2557" width="10.28515625" bestFit="1" customWidth="1"/>
    <col min="2558" max="2559" width="9.28515625" bestFit="1" customWidth="1"/>
    <col min="2561" max="2561" width="10.28515625" bestFit="1" customWidth="1"/>
    <col min="2562" max="2563" width="9.28515625" bestFit="1" customWidth="1"/>
    <col min="2565" max="2565" width="10.28515625" bestFit="1" customWidth="1"/>
    <col min="2566" max="2567" width="9.28515625" bestFit="1" customWidth="1"/>
    <col min="2569" max="2569" width="10.28515625" bestFit="1" customWidth="1"/>
    <col min="2570" max="2571" width="9.28515625" bestFit="1" customWidth="1"/>
    <col min="2573" max="2573" width="10.28515625" bestFit="1" customWidth="1"/>
    <col min="2574" max="2575" width="9.28515625" bestFit="1" customWidth="1"/>
    <col min="2577" max="2577" width="10.28515625" bestFit="1" customWidth="1"/>
    <col min="2578" max="2579" width="9.28515625" bestFit="1" customWidth="1"/>
    <col min="2581" max="2581" width="10.28515625" bestFit="1" customWidth="1"/>
    <col min="2582" max="2583" width="9.28515625" bestFit="1" customWidth="1"/>
    <col min="2585" max="2585" width="10.28515625" bestFit="1" customWidth="1"/>
    <col min="2586" max="2587" width="9.28515625" bestFit="1" customWidth="1"/>
    <col min="2589" max="2589" width="10.28515625" bestFit="1" customWidth="1"/>
    <col min="2590" max="2591" width="9.28515625" bestFit="1" customWidth="1"/>
    <col min="2593" max="2593" width="10.28515625" bestFit="1" customWidth="1"/>
    <col min="2594" max="2595" width="9.28515625" bestFit="1" customWidth="1"/>
    <col min="2597" max="2597" width="10.28515625" bestFit="1" customWidth="1"/>
    <col min="2598" max="2599" width="9.28515625" bestFit="1" customWidth="1"/>
    <col min="2601" max="2601" width="10.28515625" bestFit="1" customWidth="1"/>
    <col min="2602" max="2603" width="9.28515625" bestFit="1" customWidth="1"/>
    <col min="2605" max="2605" width="10.28515625" bestFit="1" customWidth="1"/>
    <col min="2606" max="2607" width="9.28515625" bestFit="1" customWidth="1"/>
    <col min="2609" max="2609" width="10.28515625" bestFit="1" customWidth="1"/>
    <col min="2610" max="2611" width="9.28515625" bestFit="1" customWidth="1"/>
    <col min="2613" max="2613" width="10.28515625" bestFit="1" customWidth="1"/>
    <col min="2614" max="2615" width="9.28515625" bestFit="1" customWidth="1"/>
    <col min="2617" max="2617" width="10.28515625" bestFit="1" customWidth="1"/>
    <col min="2618" max="2619" width="9.28515625" bestFit="1" customWidth="1"/>
    <col min="2621" max="2621" width="10.28515625" bestFit="1" customWidth="1"/>
    <col min="2622" max="2623" width="9.28515625" bestFit="1" customWidth="1"/>
    <col min="2625" max="2625" width="10.28515625" bestFit="1" customWidth="1"/>
    <col min="2626" max="2627" width="9.28515625" bestFit="1" customWidth="1"/>
    <col min="2629" max="2629" width="10.28515625" bestFit="1" customWidth="1"/>
    <col min="2630" max="2631" width="9.28515625" bestFit="1" customWidth="1"/>
    <col min="2633" max="2633" width="10.28515625" bestFit="1" customWidth="1"/>
    <col min="2634" max="2635" width="9.28515625" bestFit="1" customWidth="1"/>
    <col min="2637" max="2637" width="10.28515625" bestFit="1" customWidth="1"/>
    <col min="2638" max="2639" width="9.28515625" bestFit="1" customWidth="1"/>
    <col min="2641" max="2641" width="10.28515625" bestFit="1" customWidth="1"/>
    <col min="2642" max="2643" width="9.28515625" bestFit="1" customWidth="1"/>
    <col min="2645" max="2645" width="10.28515625" bestFit="1" customWidth="1"/>
    <col min="2646" max="2647" width="9.28515625" bestFit="1" customWidth="1"/>
    <col min="2649" max="2649" width="10.28515625" bestFit="1" customWidth="1"/>
    <col min="2650" max="2651" width="9.28515625" bestFit="1" customWidth="1"/>
    <col min="2653" max="2653" width="10.28515625" bestFit="1" customWidth="1"/>
    <col min="2654" max="2655" width="9.28515625" bestFit="1" customWidth="1"/>
    <col min="2657" max="2657" width="10.28515625" bestFit="1" customWidth="1"/>
    <col min="2658" max="2659" width="9.28515625" bestFit="1" customWidth="1"/>
    <col min="2661" max="2661" width="10.28515625" bestFit="1" customWidth="1"/>
    <col min="2662" max="2663" width="9.28515625" bestFit="1" customWidth="1"/>
    <col min="2665" max="2665" width="10.28515625" bestFit="1" customWidth="1"/>
    <col min="2666" max="2667" width="9.28515625" bestFit="1" customWidth="1"/>
    <col min="2669" max="2669" width="10.28515625" bestFit="1" customWidth="1"/>
    <col min="2670" max="2671" width="9.28515625" bestFit="1" customWidth="1"/>
    <col min="2673" max="2673" width="10.28515625" bestFit="1" customWidth="1"/>
    <col min="2674" max="2675" width="9.28515625" bestFit="1" customWidth="1"/>
    <col min="2677" max="2677" width="10.28515625" bestFit="1" customWidth="1"/>
    <col min="2678" max="2679" width="9.28515625" bestFit="1" customWidth="1"/>
    <col min="2681" max="2681" width="10.28515625" bestFit="1" customWidth="1"/>
    <col min="2682" max="2683" width="9.28515625" bestFit="1" customWidth="1"/>
    <col min="2685" max="2685" width="10.28515625" bestFit="1" customWidth="1"/>
    <col min="2686" max="2687" width="9.28515625" bestFit="1" customWidth="1"/>
    <col min="2689" max="2689" width="10.28515625" bestFit="1" customWidth="1"/>
    <col min="2690" max="2691" width="9.28515625" bestFit="1" customWidth="1"/>
    <col min="2693" max="2693" width="10.28515625" bestFit="1" customWidth="1"/>
    <col min="2694" max="2695" width="9.28515625" bestFit="1" customWidth="1"/>
    <col min="2697" max="2697" width="10.28515625" bestFit="1" customWidth="1"/>
    <col min="2698" max="2699" width="9.28515625" bestFit="1" customWidth="1"/>
    <col min="2701" max="2701" width="10.28515625" bestFit="1" customWidth="1"/>
    <col min="2702" max="2703" width="9.28515625" bestFit="1" customWidth="1"/>
    <col min="2705" max="2705" width="10.28515625" bestFit="1" customWidth="1"/>
    <col min="2706" max="2707" width="9.28515625" bestFit="1" customWidth="1"/>
    <col min="2709" max="2709" width="10.28515625" bestFit="1" customWidth="1"/>
    <col min="2710" max="2711" width="9.28515625" bestFit="1" customWidth="1"/>
    <col min="2713" max="2713" width="10.28515625" bestFit="1" customWidth="1"/>
    <col min="2714" max="2715" width="9.28515625" bestFit="1" customWidth="1"/>
    <col min="2717" max="2717" width="10.28515625" bestFit="1" customWidth="1"/>
    <col min="2718" max="2719" width="9.28515625" bestFit="1" customWidth="1"/>
    <col min="2721" max="2721" width="10.28515625" bestFit="1" customWidth="1"/>
    <col min="2722" max="2723" width="9.28515625" bestFit="1" customWidth="1"/>
    <col min="2725" max="2725" width="10.28515625" bestFit="1" customWidth="1"/>
    <col min="2726" max="2727" width="9.28515625" bestFit="1" customWidth="1"/>
    <col min="2729" max="2729" width="10.28515625" bestFit="1" customWidth="1"/>
    <col min="2730" max="2731" width="9.28515625" bestFit="1" customWidth="1"/>
    <col min="2733" max="2733" width="10.28515625" bestFit="1" customWidth="1"/>
    <col min="2734" max="2735" width="9.28515625" bestFit="1" customWidth="1"/>
    <col min="2737" max="2737" width="10.28515625" bestFit="1" customWidth="1"/>
    <col min="2738" max="2739" width="9.28515625" bestFit="1" customWidth="1"/>
    <col min="2741" max="2741" width="10.28515625" bestFit="1" customWidth="1"/>
    <col min="2742" max="2743" width="9.28515625" bestFit="1" customWidth="1"/>
    <col min="2745" max="2745" width="10.28515625" bestFit="1" customWidth="1"/>
    <col min="2746" max="2747" width="9.28515625" bestFit="1" customWidth="1"/>
    <col min="2749" max="2749" width="10.28515625" bestFit="1" customWidth="1"/>
    <col min="2750" max="2751" width="9.28515625" bestFit="1" customWidth="1"/>
    <col min="2753" max="2753" width="10.28515625" bestFit="1" customWidth="1"/>
    <col min="2754" max="2755" width="9.28515625" bestFit="1" customWidth="1"/>
    <col min="2757" max="2757" width="10.28515625" bestFit="1" customWidth="1"/>
    <col min="2758" max="2759" width="9.28515625" bestFit="1" customWidth="1"/>
    <col min="2761" max="2761" width="10.28515625" bestFit="1" customWidth="1"/>
    <col min="2762" max="2763" width="9.28515625" bestFit="1" customWidth="1"/>
    <col min="2765" max="2765" width="10.28515625" bestFit="1" customWidth="1"/>
    <col min="2766" max="2767" width="9.28515625" bestFit="1" customWidth="1"/>
    <col min="2769" max="2769" width="10.28515625" bestFit="1" customWidth="1"/>
    <col min="2770" max="2771" width="9.28515625" bestFit="1" customWidth="1"/>
    <col min="2773" max="2773" width="10.28515625" bestFit="1" customWidth="1"/>
    <col min="2774" max="2775" width="9.28515625" bestFit="1" customWidth="1"/>
    <col min="2777" max="2777" width="10.28515625" bestFit="1" customWidth="1"/>
    <col min="2778" max="2779" width="9.28515625" bestFit="1" customWidth="1"/>
    <col min="2781" max="2781" width="10.28515625" bestFit="1" customWidth="1"/>
    <col min="2782" max="2783" width="9.28515625" bestFit="1" customWidth="1"/>
    <col min="2785" max="2785" width="10.28515625" bestFit="1" customWidth="1"/>
    <col min="2786" max="2787" width="9.28515625" bestFit="1" customWidth="1"/>
    <col min="2789" max="2789" width="10.28515625" bestFit="1" customWidth="1"/>
    <col min="2790" max="2791" width="9.28515625" bestFit="1" customWidth="1"/>
    <col min="2793" max="2793" width="10.28515625" bestFit="1" customWidth="1"/>
    <col min="2794" max="2795" width="9.28515625" bestFit="1" customWidth="1"/>
    <col min="2797" max="2797" width="10.28515625" bestFit="1" customWidth="1"/>
    <col min="2798" max="2799" width="9.28515625" bestFit="1" customWidth="1"/>
    <col min="2801" max="2801" width="10.28515625" bestFit="1" customWidth="1"/>
    <col min="2802" max="2803" width="9.28515625" bestFit="1" customWidth="1"/>
    <col min="2805" max="2805" width="10.28515625" bestFit="1" customWidth="1"/>
    <col min="2806" max="2807" width="9.28515625" bestFit="1" customWidth="1"/>
    <col min="2809" max="2809" width="10.28515625" bestFit="1" customWidth="1"/>
    <col min="2810" max="2811" width="9.28515625" bestFit="1" customWidth="1"/>
    <col min="2813" max="2813" width="10.28515625" bestFit="1" customWidth="1"/>
    <col min="2814" max="2815" width="9.28515625" bestFit="1" customWidth="1"/>
    <col min="2817" max="2817" width="10.28515625" bestFit="1" customWidth="1"/>
    <col min="2818" max="2819" width="9.28515625" bestFit="1" customWidth="1"/>
    <col min="2821" max="2821" width="10.28515625" bestFit="1" customWidth="1"/>
    <col min="2822" max="2823" width="9.28515625" bestFit="1" customWidth="1"/>
    <col min="2825" max="2825" width="10.28515625" bestFit="1" customWidth="1"/>
    <col min="2826" max="2827" width="9.28515625" bestFit="1" customWidth="1"/>
    <col min="2829" max="2829" width="10.28515625" bestFit="1" customWidth="1"/>
    <col min="2830" max="2831" width="9.28515625" bestFit="1" customWidth="1"/>
    <col min="2833" max="2833" width="10.28515625" bestFit="1" customWidth="1"/>
    <col min="2834" max="2835" width="9.28515625" bestFit="1" customWidth="1"/>
    <col min="2837" max="2837" width="10.28515625" bestFit="1" customWidth="1"/>
    <col min="2838" max="2839" width="9.28515625" bestFit="1" customWidth="1"/>
    <col min="2841" max="2841" width="10.28515625" bestFit="1" customWidth="1"/>
    <col min="2842" max="2843" width="9.28515625" bestFit="1" customWidth="1"/>
    <col min="2845" max="2845" width="10.28515625" bestFit="1" customWidth="1"/>
    <col min="2846" max="2847" width="9.28515625" bestFit="1" customWidth="1"/>
    <col min="2849" max="2849" width="10.28515625" bestFit="1" customWidth="1"/>
    <col min="2850" max="2851" width="9.28515625" bestFit="1" customWidth="1"/>
    <col min="2853" max="2853" width="10.28515625" bestFit="1" customWidth="1"/>
    <col min="2854" max="2855" width="9.28515625" bestFit="1" customWidth="1"/>
    <col min="2857" max="2857" width="10.28515625" bestFit="1" customWidth="1"/>
    <col min="2858" max="2859" width="9.28515625" bestFit="1" customWidth="1"/>
    <col min="2861" max="2861" width="10.28515625" bestFit="1" customWidth="1"/>
    <col min="2862" max="2863" width="9.28515625" bestFit="1" customWidth="1"/>
    <col min="2865" max="2865" width="10.28515625" bestFit="1" customWidth="1"/>
    <col min="2866" max="2867" width="9.28515625" bestFit="1" customWidth="1"/>
    <col min="2869" max="2869" width="10.28515625" bestFit="1" customWidth="1"/>
    <col min="2870" max="2871" width="9.28515625" bestFit="1" customWidth="1"/>
    <col min="2873" max="2873" width="10.28515625" bestFit="1" customWidth="1"/>
    <col min="2874" max="2875" width="9.28515625" bestFit="1" customWidth="1"/>
    <col min="2877" max="2877" width="10.28515625" bestFit="1" customWidth="1"/>
    <col min="2878" max="2879" width="9.28515625" bestFit="1" customWidth="1"/>
    <col min="2881" max="2881" width="10.28515625" bestFit="1" customWidth="1"/>
    <col min="2882" max="2883" width="9.28515625" bestFit="1" customWidth="1"/>
    <col min="2885" max="2885" width="10.28515625" bestFit="1" customWidth="1"/>
    <col min="2886" max="2887" width="9.28515625" bestFit="1" customWidth="1"/>
    <col min="2889" max="2889" width="10.28515625" bestFit="1" customWidth="1"/>
    <col min="2890" max="2891" width="9.28515625" bestFit="1" customWidth="1"/>
    <col min="2893" max="2893" width="10.28515625" bestFit="1" customWidth="1"/>
    <col min="2894" max="2895" width="9.28515625" bestFit="1" customWidth="1"/>
    <col min="2897" max="2897" width="10.28515625" bestFit="1" customWidth="1"/>
    <col min="2898" max="2899" width="9.28515625" bestFit="1" customWidth="1"/>
    <col min="2901" max="2901" width="10.28515625" bestFit="1" customWidth="1"/>
    <col min="2902" max="2903" width="9.28515625" bestFit="1" customWidth="1"/>
    <col min="2905" max="2905" width="10.28515625" bestFit="1" customWidth="1"/>
    <col min="2906" max="2907" width="9.28515625" bestFit="1" customWidth="1"/>
    <col min="2909" max="2909" width="10.28515625" bestFit="1" customWidth="1"/>
    <col min="2910" max="2911" width="9.28515625" bestFit="1" customWidth="1"/>
    <col min="2913" max="2913" width="10.28515625" bestFit="1" customWidth="1"/>
    <col min="2914" max="2915" width="9.28515625" bestFit="1" customWidth="1"/>
    <col min="2917" max="2917" width="10.28515625" bestFit="1" customWidth="1"/>
    <col min="2918" max="2919" width="9.28515625" bestFit="1" customWidth="1"/>
    <col min="2921" max="2921" width="10.28515625" bestFit="1" customWidth="1"/>
    <col min="2922" max="2923" width="9.28515625" bestFit="1" customWidth="1"/>
    <col min="2925" max="2925" width="10.28515625" bestFit="1" customWidth="1"/>
    <col min="2926" max="2927" width="9.28515625" bestFit="1" customWidth="1"/>
    <col min="2929" max="2929" width="10.28515625" bestFit="1" customWidth="1"/>
    <col min="2930" max="2931" width="9.28515625" bestFit="1" customWidth="1"/>
    <col min="2933" max="2933" width="10.28515625" bestFit="1" customWidth="1"/>
    <col min="2934" max="2935" width="9.28515625" bestFit="1" customWidth="1"/>
    <col min="2937" max="2937" width="10.28515625" bestFit="1" customWidth="1"/>
    <col min="2938" max="2939" width="9.28515625" bestFit="1" customWidth="1"/>
    <col min="2941" max="2941" width="10.28515625" bestFit="1" customWidth="1"/>
    <col min="2942" max="2943" width="9.28515625" bestFit="1" customWidth="1"/>
    <col min="2945" max="2945" width="10.28515625" bestFit="1" customWidth="1"/>
    <col min="2946" max="2947" width="9.28515625" bestFit="1" customWidth="1"/>
    <col min="2949" max="2949" width="10.28515625" bestFit="1" customWidth="1"/>
    <col min="2950" max="2951" width="9.28515625" bestFit="1" customWidth="1"/>
    <col min="2953" max="2953" width="10.28515625" bestFit="1" customWidth="1"/>
    <col min="2954" max="2955" width="9.28515625" bestFit="1" customWidth="1"/>
    <col min="2957" max="2957" width="10.28515625" bestFit="1" customWidth="1"/>
    <col min="2958" max="2959" width="9.28515625" bestFit="1" customWidth="1"/>
    <col min="2961" max="2961" width="10.28515625" bestFit="1" customWidth="1"/>
    <col min="2962" max="2963" width="9.28515625" bestFit="1" customWidth="1"/>
    <col min="2965" max="2965" width="10.28515625" bestFit="1" customWidth="1"/>
    <col min="2966" max="2967" width="9.28515625" bestFit="1" customWidth="1"/>
    <col min="2969" max="2969" width="10.28515625" bestFit="1" customWidth="1"/>
    <col min="2970" max="2971" width="9.28515625" bestFit="1" customWidth="1"/>
    <col min="2973" max="2973" width="10.28515625" bestFit="1" customWidth="1"/>
    <col min="2974" max="2975" width="9.28515625" bestFit="1" customWidth="1"/>
    <col min="2977" max="2977" width="10.28515625" bestFit="1" customWidth="1"/>
    <col min="2978" max="2979" width="9.28515625" bestFit="1" customWidth="1"/>
    <col min="2981" max="2981" width="10.28515625" bestFit="1" customWidth="1"/>
    <col min="2982" max="2983" width="9.28515625" bestFit="1" customWidth="1"/>
    <col min="2985" max="2985" width="10.28515625" bestFit="1" customWidth="1"/>
    <col min="2986" max="2987" width="9.28515625" bestFit="1" customWidth="1"/>
    <col min="2989" max="2989" width="10.28515625" bestFit="1" customWidth="1"/>
    <col min="2990" max="2991" width="9.28515625" bestFit="1" customWidth="1"/>
    <col min="2993" max="2993" width="10.28515625" bestFit="1" customWidth="1"/>
    <col min="2994" max="2995" width="9.28515625" bestFit="1" customWidth="1"/>
    <col min="2997" max="2997" width="10.28515625" bestFit="1" customWidth="1"/>
    <col min="2998" max="2999" width="9.28515625" bestFit="1" customWidth="1"/>
    <col min="3001" max="3001" width="10.28515625" bestFit="1" customWidth="1"/>
    <col min="3002" max="3003" width="9.28515625" bestFit="1" customWidth="1"/>
    <col min="3005" max="3005" width="10.28515625" bestFit="1" customWidth="1"/>
    <col min="3006" max="3007" width="9.28515625" bestFit="1" customWidth="1"/>
    <col min="3009" max="3009" width="10.28515625" bestFit="1" customWidth="1"/>
    <col min="3010" max="3011" width="9.28515625" bestFit="1" customWidth="1"/>
    <col min="3013" max="3013" width="10.28515625" bestFit="1" customWidth="1"/>
    <col min="3014" max="3015" width="9.28515625" bestFit="1" customWidth="1"/>
    <col min="3017" max="3017" width="10.28515625" bestFit="1" customWidth="1"/>
    <col min="3018" max="3019" width="9.28515625" bestFit="1" customWidth="1"/>
    <col min="3021" max="3021" width="10.28515625" bestFit="1" customWidth="1"/>
    <col min="3022" max="3023" width="9.28515625" bestFit="1" customWidth="1"/>
    <col min="3025" max="3025" width="10.28515625" bestFit="1" customWidth="1"/>
    <col min="3026" max="3027" width="9.28515625" bestFit="1" customWidth="1"/>
    <col min="3029" max="3029" width="10.28515625" bestFit="1" customWidth="1"/>
    <col min="3030" max="3031" width="9.28515625" bestFit="1" customWidth="1"/>
    <col min="3033" max="3033" width="10.28515625" bestFit="1" customWidth="1"/>
    <col min="3034" max="3035" width="9.28515625" bestFit="1" customWidth="1"/>
    <col min="3037" max="3037" width="10.28515625" bestFit="1" customWidth="1"/>
    <col min="3038" max="3039" width="9.28515625" bestFit="1" customWidth="1"/>
    <col min="3041" max="3041" width="10.28515625" bestFit="1" customWidth="1"/>
    <col min="3042" max="3043" width="9.28515625" bestFit="1" customWidth="1"/>
    <col min="3045" max="3045" width="10.28515625" bestFit="1" customWidth="1"/>
    <col min="3046" max="3047" width="9.28515625" bestFit="1" customWidth="1"/>
    <col min="3049" max="3049" width="10.28515625" bestFit="1" customWidth="1"/>
    <col min="3050" max="3051" width="9.28515625" bestFit="1" customWidth="1"/>
    <col min="3053" max="3053" width="10.28515625" bestFit="1" customWidth="1"/>
    <col min="3054" max="3055" width="9.28515625" bestFit="1" customWidth="1"/>
    <col min="3057" max="3057" width="10.28515625" bestFit="1" customWidth="1"/>
    <col min="3058" max="3059" width="9.28515625" bestFit="1" customWidth="1"/>
    <col min="3061" max="3061" width="10.28515625" bestFit="1" customWidth="1"/>
    <col min="3062" max="3063" width="9.28515625" bestFit="1" customWidth="1"/>
    <col min="3065" max="3065" width="10.28515625" bestFit="1" customWidth="1"/>
    <col min="3066" max="3067" width="9.28515625" bestFit="1" customWidth="1"/>
    <col min="3069" max="3069" width="10.28515625" bestFit="1" customWidth="1"/>
    <col min="3070" max="3071" width="9.28515625" bestFit="1" customWidth="1"/>
    <col min="3073" max="3073" width="10.28515625" bestFit="1" customWidth="1"/>
    <col min="3074" max="3075" width="9.28515625" bestFit="1" customWidth="1"/>
    <col min="3077" max="3077" width="10.28515625" bestFit="1" customWidth="1"/>
    <col min="3078" max="3079" width="9.28515625" bestFit="1" customWidth="1"/>
    <col min="3081" max="3081" width="10.28515625" bestFit="1" customWidth="1"/>
    <col min="3082" max="3083" width="9.28515625" bestFit="1" customWidth="1"/>
    <col min="3085" max="3085" width="10.28515625" bestFit="1" customWidth="1"/>
    <col min="3086" max="3087" width="9.28515625" bestFit="1" customWidth="1"/>
    <col min="3089" max="3089" width="10.28515625" bestFit="1" customWidth="1"/>
    <col min="3090" max="3091" width="9.28515625" bestFit="1" customWidth="1"/>
    <col min="3093" max="3093" width="10.28515625" bestFit="1" customWidth="1"/>
    <col min="3094" max="3095" width="9.28515625" bestFit="1" customWidth="1"/>
    <col min="3097" max="3097" width="10.28515625" bestFit="1" customWidth="1"/>
    <col min="3098" max="3099" width="9.28515625" bestFit="1" customWidth="1"/>
    <col min="3101" max="3101" width="10.28515625" bestFit="1" customWidth="1"/>
    <col min="3102" max="3103" width="9.28515625" bestFit="1" customWidth="1"/>
    <col min="3105" max="3105" width="10.28515625" bestFit="1" customWidth="1"/>
    <col min="3106" max="3107" width="9.28515625" bestFit="1" customWidth="1"/>
    <col min="3109" max="3109" width="10.28515625" bestFit="1" customWidth="1"/>
    <col min="3110" max="3111" width="9.28515625" bestFit="1" customWidth="1"/>
    <col min="3113" max="3113" width="10.28515625" bestFit="1" customWidth="1"/>
    <col min="3114" max="3115" width="9.28515625" bestFit="1" customWidth="1"/>
    <col min="3117" max="3117" width="10.28515625" bestFit="1" customWidth="1"/>
    <col min="3118" max="3119" width="9.28515625" bestFit="1" customWidth="1"/>
    <col min="3121" max="3121" width="10.28515625" bestFit="1" customWidth="1"/>
    <col min="3122" max="3123" width="9.28515625" bestFit="1" customWidth="1"/>
    <col min="3125" max="3125" width="10.28515625" bestFit="1" customWidth="1"/>
    <col min="3126" max="3127" width="9.28515625" bestFit="1" customWidth="1"/>
    <col min="3129" max="3129" width="10.28515625" bestFit="1" customWidth="1"/>
    <col min="3130" max="3131" width="9.28515625" bestFit="1" customWidth="1"/>
    <col min="3133" max="3133" width="10.28515625" bestFit="1" customWidth="1"/>
    <col min="3134" max="3135" width="9.28515625" bestFit="1" customWidth="1"/>
    <col min="3137" max="3137" width="10.28515625" bestFit="1" customWidth="1"/>
    <col min="3138" max="3139" width="9.28515625" bestFit="1" customWidth="1"/>
    <col min="3141" max="3141" width="10.28515625" bestFit="1" customWidth="1"/>
    <col min="3142" max="3143" width="9.28515625" bestFit="1" customWidth="1"/>
    <col min="3145" max="3145" width="10.28515625" bestFit="1" customWidth="1"/>
    <col min="3146" max="3147" width="9.28515625" bestFit="1" customWidth="1"/>
    <col min="3149" max="3149" width="10.28515625" bestFit="1" customWidth="1"/>
    <col min="3150" max="3151" width="9.28515625" bestFit="1" customWidth="1"/>
    <col min="3153" max="3153" width="10.28515625" bestFit="1" customWidth="1"/>
    <col min="3154" max="3155" width="9.28515625" bestFit="1" customWidth="1"/>
    <col min="3157" max="3157" width="10.28515625" bestFit="1" customWidth="1"/>
    <col min="3158" max="3159" width="9.28515625" bestFit="1" customWidth="1"/>
    <col min="3161" max="3161" width="10.28515625" bestFit="1" customWidth="1"/>
    <col min="3162" max="3163" width="9.28515625" bestFit="1" customWidth="1"/>
    <col min="3165" max="3165" width="10.28515625" bestFit="1" customWidth="1"/>
    <col min="3166" max="3167" width="9.28515625" bestFit="1" customWidth="1"/>
    <col min="3169" max="3169" width="10.28515625" bestFit="1" customWidth="1"/>
    <col min="3170" max="3171" width="9.28515625" bestFit="1" customWidth="1"/>
    <col min="3173" max="3173" width="10.28515625" bestFit="1" customWidth="1"/>
    <col min="3174" max="3175" width="9.28515625" bestFit="1" customWidth="1"/>
    <col min="3177" max="3177" width="10.28515625" bestFit="1" customWidth="1"/>
    <col min="3178" max="3179" width="9.28515625" bestFit="1" customWidth="1"/>
    <col min="3181" max="3181" width="10.28515625" bestFit="1" customWidth="1"/>
    <col min="3182" max="3183" width="9.28515625" bestFit="1" customWidth="1"/>
    <col min="3185" max="3185" width="10.28515625" bestFit="1" customWidth="1"/>
    <col min="3186" max="3187" width="9.28515625" bestFit="1" customWidth="1"/>
    <col min="3189" max="3189" width="10.28515625" bestFit="1" customWidth="1"/>
    <col min="3190" max="3191" width="9.28515625" bestFit="1" customWidth="1"/>
    <col min="3193" max="3193" width="10.28515625" bestFit="1" customWidth="1"/>
    <col min="3194" max="3195" width="9.28515625" bestFit="1" customWidth="1"/>
    <col min="3197" max="3197" width="10.28515625" bestFit="1" customWidth="1"/>
    <col min="3198" max="3199" width="9.28515625" bestFit="1" customWidth="1"/>
    <col min="3201" max="3201" width="10.28515625" bestFit="1" customWidth="1"/>
    <col min="3202" max="3203" width="9.28515625" bestFit="1" customWidth="1"/>
    <col min="3205" max="3205" width="10.28515625" bestFit="1" customWidth="1"/>
    <col min="3206" max="3207" width="9.28515625" bestFit="1" customWidth="1"/>
    <col min="3209" max="3209" width="10.28515625" bestFit="1" customWidth="1"/>
    <col min="3210" max="3211" width="9.28515625" bestFit="1" customWidth="1"/>
    <col min="3213" max="3213" width="10.28515625" bestFit="1" customWidth="1"/>
    <col min="3214" max="3215" width="9.28515625" bestFit="1" customWidth="1"/>
    <col min="3217" max="3217" width="10.28515625" bestFit="1" customWidth="1"/>
    <col min="3218" max="3219" width="9.28515625" bestFit="1" customWidth="1"/>
    <col min="3221" max="3221" width="10.28515625" bestFit="1" customWidth="1"/>
    <col min="3222" max="3223" width="9.28515625" bestFit="1" customWidth="1"/>
    <col min="3225" max="3225" width="10.28515625" bestFit="1" customWidth="1"/>
    <col min="3226" max="3227" width="9.28515625" bestFit="1" customWidth="1"/>
    <col min="3229" max="3229" width="10.28515625" bestFit="1" customWidth="1"/>
    <col min="3230" max="3231" width="9.28515625" bestFit="1" customWidth="1"/>
    <col min="3233" max="3233" width="10.28515625" bestFit="1" customWidth="1"/>
    <col min="3234" max="3235" width="9.28515625" bestFit="1" customWidth="1"/>
    <col min="3237" max="3237" width="10.28515625" bestFit="1" customWidth="1"/>
    <col min="3238" max="3239" width="9.28515625" bestFit="1" customWidth="1"/>
    <col min="3241" max="3241" width="10.28515625" bestFit="1" customWidth="1"/>
    <col min="3242" max="3243" width="9.28515625" bestFit="1" customWidth="1"/>
    <col min="3245" max="3245" width="10.28515625" bestFit="1" customWidth="1"/>
    <col min="3246" max="3247" width="9.28515625" bestFit="1" customWidth="1"/>
    <col min="3249" max="3249" width="10.28515625" bestFit="1" customWidth="1"/>
    <col min="3250" max="3251" width="9.28515625" bestFit="1" customWidth="1"/>
    <col min="3253" max="3253" width="10.28515625" bestFit="1" customWidth="1"/>
    <col min="3254" max="3255" width="9.28515625" bestFit="1" customWidth="1"/>
    <col min="3257" max="3257" width="10.28515625" bestFit="1" customWidth="1"/>
    <col min="3258" max="3259" width="9.28515625" bestFit="1" customWidth="1"/>
    <col min="3261" max="3261" width="10.28515625" bestFit="1" customWidth="1"/>
    <col min="3262" max="3263" width="9.28515625" bestFit="1" customWidth="1"/>
    <col min="3265" max="3265" width="10.28515625" bestFit="1" customWidth="1"/>
    <col min="3266" max="3267" width="9.28515625" bestFit="1" customWidth="1"/>
    <col min="3269" max="3269" width="10.28515625" bestFit="1" customWidth="1"/>
    <col min="3270" max="3271" width="9.28515625" bestFit="1" customWidth="1"/>
    <col min="3273" max="3273" width="10.28515625" bestFit="1" customWidth="1"/>
    <col min="3274" max="3275" width="9.28515625" bestFit="1" customWidth="1"/>
    <col min="3277" max="3277" width="10.28515625" bestFit="1" customWidth="1"/>
    <col min="3278" max="3279" width="9.28515625" bestFit="1" customWidth="1"/>
    <col min="3281" max="3281" width="10.28515625" bestFit="1" customWidth="1"/>
    <col min="3282" max="3283" width="9.28515625" bestFit="1" customWidth="1"/>
    <col min="3285" max="3285" width="10.28515625" bestFit="1" customWidth="1"/>
    <col min="3286" max="3287" width="9.28515625" bestFit="1" customWidth="1"/>
    <col min="3289" max="3289" width="10.28515625" bestFit="1" customWidth="1"/>
    <col min="3290" max="3291" width="9.28515625" bestFit="1" customWidth="1"/>
    <col min="3293" max="3293" width="10.28515625" bestFit="1" customWidth="1"/>
    <col min="3294" max="3295" width="9.28515625" bestFit="1" customWidth="1"/>
    <col min="3297" max="3297" width="10.28515625" bestFit="1" customWidth="1"/>
    <col min="3298" max="3299" width="9.28515625" bestFit="1" customWidth="1"/>
    <col min="3301" max="3301" width="10.28515625" bestFit="1" customWidth="1"/>
    <col min="3302" max="3303" width="9.28515625" bestFit="1" customWidth="1"/>
    <col min="3305" max="3305" width="10.28515625" bestFit="1" customWidth="1"/>
    <col min="3306" max="3307" width="9.28515625" bestFit="1" customWidth="1"/>
    <col min="3309" max="3309" width="10.28515625" bestFit="1" customWidth="1"/>
    <col min="3310" max="3311" width="9.28515625" bestFit="1" customWidth="1"/>
    <col min="3313" max="3313" width="10.28515625" bestFit="1" customWidth="1"/>
    <col min="3314" max="3315" width="9.28515625" bestFit="1" customWidth="1"/>
    <col min="3317" max="3317" width="10.28515625" bestFit="1" customWidth="1"/>
    <col min="3318" max="3319" width="9.28515625" bestFit="1" customWidth="1"/>
    <col min="3321" max="3321" width="10.28515625" bestFit="1" customWidth="1"/>
    <col min="3322" max="3323" width="9.28515625" bestFit="1" customWidth="1"/>
    <col min="3325" max="3325" width="10.28515625" bestFit="1" customWidth="1"/>
    <col min="3326" max="3327" width="9.28515625" bestFit="1" customWidth="1"/>
    <col min="3329" max="3329" width="10.28515625" bestFit="1" customWidth="1"/>
    <col min="3330" max="3331" width="9.28515625" bestFit="1" customWidth="1"/>
    <col min="3333" max="3333" width="10.28515625" bestFit="1" customWidth="1"/>
    <col min="3334" max="3335" width="9.28515625" bestFit="1" customWidth="1"/>
    <col min="3337" max="3337" width="10.28515625" bestFit="1" customWidth="1"/>
    <col min="3338" max="3339" width="9.28515625" bestFit="1" customWidth="1"/>
    <col min="3341" max="3341" width="10.28515625" bestFit="1" customWidth="1"/>
    <col min="3342" max="3343" width="9.28515625" bestFit="1" customWidth="1"/>
    <col min="3345" max="3345" width="10.28515625" bestFit="1" customWidth="1"/>
    <col min="3346" max="3347" width="9.28515625" bestFit="1" customWidth="1"/>
    <col min="3349" max="3349" width="10.28515625" bestFit="1" customWidth="1"/>
    <col min="3350" max="3351" width="9.28515625" bestFit="1" customWidth="1"/>
    <col min="3353" max="3353" width="10.28515625" bestFit="1" customWidth="1"/>
    <col min="3354" max="3355" width="9.28515625" bestFit="1" customWidth="1"/>
    <col min="3357" max="3357" width="10.28515625" bestFit="1" customWidth="1"/>
    <col min="3358" max="3359" width="9.28515625" bestFit="1" customWidth="1"/>
    <col min="3361" max="3361" width="10.28515625" bestFit="1" customWidth="1"/>
    <col min="3362" max="3363" width="9.28515625" bestFit="1" customWidth="1"/>
    <col min="3365" max="3365" width="10.28515625" bestFit="1" customWidth="1"/>
    <col min="3366" max="3367" width="9.28515625" bestFit="1" customWidth="1"/>
    <col min="3369" max="3369" width="10.28515625" bestFit="1" customWidth="1"/>
    <col min="3370" max="3371" width="9.28515625" bestFit="1" customWidth="1"/>
    <col min="3373" max="3373" width="10.28515625" bestFit="1" customWidth="1"/>
    <col min="3374" max="3375" width="9.28515625" bestFit="1" customWidth="1"/>
    <col min="3377" max="3377" width="10.28515625" bestFit="1" customWidth="1"/>
    <col min="3378" max="3379" width="9.28515625" bestFit="1" customWidth="1"/>
    <col min="3381" max="3381" width="10.28515625" bestFit="1" customWidth="1"/>
    <col min="3382" max="3383" width="9.28515625" bestFit="1" customWidth="1"/>
    <col min="3385" max="3385" width="10.28515625" bestFit="1" customWidth="1"/>
    <col min="3386" max="3387" width="9.28515625" bestFit="1" customWidth="1"/>
    <col min="3389" max="3389" width="10.28515625" bestFit="1" customWidth="1"/>
    <col min="3390" max="3391" width="9.28515625" bestFit="1" customWidth="1"/>
    <col min="3393" max="3393" width="10.28515625" bestFit="1" customWidth="1"/>
    <col min="3394" max="3395" width="9.28515625" bestFit="1" customWidth="1"/>
    <col min="3397" max="3397" width="10.28515625" bestFit="1" customWidth="1"/>
    <col min="3398" max="3399" width="9.28515625" bestFit="1" customWidth="1"/>
    <col min="3401" max="3401" width="10.28515625" bestFit="1" customWidth="1"/>
    <col min="3402" max="3403" width="9.28515625" bestFit="1" customWidth="1"/>
    <col min="3405" max="3405" width="10.28515625" bestFit="1" customWidth="1"/>
    <col min="3406" max="3407" width="9.28515625" bestFit="1" customWidth="1"/>
    <col min="3409" max="3409" width="10.28515625" bestFit="1" customWidth="1"/>
    <col min="3410" max="3411" width="9.28515625" bestFit="1" customWidth="1"/>
    <col min="3413" max="3413" width="10.28515625" bestFit="1" customWidth="1"/>
    <col min="3414" max="3415" width="9.28515625" bestFit="1" customWidth="1"/>
    <col min="3417" max="3417" width="10.28515625" bestFit="1" customWidth="1"/>
    <col min="3418" max="3419" width="9.28515625" bestFit="1" customWidth="1"/>
    <col min="3421" max="3421" width="10.28515625" bestFit="1" customWidth="1"/>
    <col min="3422" max="3423" width="9.28515625" bestFit="1" customWidth="1"/>
    <col min="3425" max="3425" width="10.28515625" bestFit="1" customWidth="1"/>
    <col min="3426" max="3427" width="9.28515625" bestFit="1" customWidth="1"/>
    <col min="3429" max="3429" width="10.28515625" bestFit="1" customWidth="1"/>
    <col min="3430" max="3431" width="9.28515625" bestFit="1" customWidth="1"/>
    <col min="3433" max="3433" width="10.28515625" bestFit="1" customWidth="1"/>
    <col min="3434" max="3435" width="9.28515625" bestFit="1" customWidth="1"/>
    <col min="3437" max="3437" width="10.28515625" bestFit="1" customWidth="1"/>
    <col min="3438" max="3439" width="9.28515625" bestFit="1" customWidth="1"/>
    <col min="3441" max="3441" width="10.28515625" bestFit="1" customWidth="1"/>
    <col min="3442" max="3443" width="9.28515625" bestFit="1" customWidth="1"/>
    <col min="3445" max="3445" width="10.28515625" bestFit="1" customWidth="1"/>
    <col min="3446" max="3447" width="9.28515625" bestFit="1" customWidth="1"/>
    <col min="3449" max="3449" width="10.28515625" bestFit="1" customWidth="1"/>
    <col min="3450" max="3451" width="9.28515625" bestFit="1" customWidth="1"/>
    <col min="3453" max="3453" width="10.28515625" bestFit="1" customWidth="1"/>
    <col min="3454" max="3455" width="9.28515625" bestFit="1" customWidth="1"/>
    <col min="3457" max="3457" width="10.28515625" bestFit="1" customWidth="1"/>
    <col min="3458" max="3459" width="9.28515625" bestFit="1" customWidth="1"/>
    <col min="3461" max="3461" width="10.28515625" bestFit="1" customWidth="1"/>
    <col min="3462" max="3463" width="9.28515625" bestFit="1" customWidth="1"/>
    <col min="3465" max="3465" width="10.28515625" bestFit="1" customWidth="1"/>
    <col min="3466" max="3467" width="9.28515625" bestFit="1" customWidth="1"/>
    <col min="3469" max="3469" width="10.28515625" bestFit="1" customWidth="1"/>
    <col min="3470" max="3471" width="9.28515625" bestFit="1" customWidth="1"/>
    <col min="3473" max="3473" width="10.28515625" bestFit="1" customWidth="1"/>
    <col min="3474" max="3475" width="9.28515625" bestFit="1" customWidth="1"/>
    <col min="3477" max="3477" width="10.28515625" bestFit="1" customWidth="1"/>
    <col min="3478" max="3479" width="9.28515625" bestFit="1" customWidth="1"/>
    <col min="3481" max="3481" width="10.28515625" bestFit="1" customWidth="1"/>
    <col min="3482" max="3483" width="9.28515625" bestFit="1" customWidth="1"/>
    <col min="3485" max="3485" width="10.28515625" bestFit="1" customWidth="1"/>
    <col min="3486" max="3487" width="9.28515625" bestFit="1" customWidth="1"/>
    <col min="3489" max="3489" width="10.28515625" bestFit="1" customWidth="1"/>
    <col min="3490" max="3491" width="9.28515625" bestFit="1" customWidth="1"/>
    <col min="3493" max="3493" width="10.28515625" bestFit="1" customWidth="1"/>
    <col min="3494" max="3495" width="9.28515625" bestFit="1" customWidth="1"/>
    <col min="3497" max="3497" width="10.28515625" bestFit="1" customWidth="1"/>
    <col min="3498" max="3499" width="9.28515625" bestFit="1" customWidth="1"/>
    <col min="3501" max="3501" width="10.28515625" bestFit="1" customWidth="1"/>
    <col min="3502" max="3503" width="9.28515625" bestFit="1" customWidth="1"/>
    <col min="3505" max="3505" width="10.28515625" bestFit="1" customWidth="1"/>
    <col min="3506" max="3507" width="9.28515625" bestFit="1" customWidth="1"/>
    <col min="3509" max="3509" width="10.28515625" bestFit="1" customWidth="1"/>
    <col min="3510" max="3511" width="9.28515625" bestFit="1" customWidth="1"/>
    <col min="3513" max="3513" width="10.28515625" bestFit="1" customWidth="1"/>
    <col min="3514" max="3515" width="9.28515625" bestFit="1" customWidth="1"/>
    <col min="3517" max="3517" width="10.28515625" bestFit="1" customWidth="1"/>
    <col min="3518" max="3519" width="9.28515625" bestFit="1" customWidth="1"/>
    <col min="3521" max="3521" width="10.28515625" bestFit="1" customWidth="1"/>
    <col min="3522" max="3523" width="9.28515625" bestFit="1" customWidth="1"/>
    <col min="3525" max="3525" width="10.28515625" bestFit="1" customWidth="1"/>
    <col min="3526" max="3527" width="9.28515625" bestFit="1" customWidth="1"/>
    <col min="3529" max="3529" width="10.28515625" bestFit="1" customWidth="1"/>
    <col min="3530" max="3531" width="9.28515625" bestFit="1" customWidth="1"/>
    <col min="3533" max="3533" width="10.28515625" bestFit="1" customWidth="1"/>
    <col min="3534" max="3535" width="9.28515625" bestFit="1" customWidth="1"/>
    <col min="3537" max="3537" width="10.28515625" bestFit="1" customWidth="1"/>
    <col min="3538" max="3539" width="9.28515625" bestFit="1" customWidth="1"/>
    <col min="3541" max="3541" width="10.28515625" bestFit="1" customWidth="1"/>
    <col min="3542" max="3543" width="9.28515625" bestFit="1" customWidth="1"/>
    <col min="3545" max="3545" width="10.28515625" bestFit="1" customWidth="1"/>
    <col min="3546" max="3547" width="9.28515625" bestFit="1" customWidth="1"/>
    <col min="3549" max="3549" width="10.28515625" bestFit="1" customWidth="1"/>
    <col min="3550" max="3551" width="9.28515625" bestFit="1" customWidth="1"/>
    <col min="3553" max="3553" width="10.28515625" bestFit="1" customWidth="1"/>
    <col min="3554" max="3555" width="9.28515625" bestFit="1" customWidth="1"/>
    <col min="3557" max="3557" width="10.28515625" bestFit="1" customWidth="1"/>
    <col min="3558" max="3559" width="9.28515625" bestFit="1" customWidth="1"/>
    <col min="3561" max="3561" width="10.28515625" bestFit="1" customWidth="1"/>
    <col min="3562" max="3563" width="9.28515625" bestFit="1" customWidth="1"/>
    <col min="3565" max="3565" width="10.28515625" bestFit="1" customWidth="1"/>
    <col min="3566" max="3567" width="9.28515625" bestFit="1" customWidth="1"/>
    <col min="3569" max="3569" width="10.28515625" bestFit="1" customWidth="1"/>
    <col min="3570" max="3571" width="9.28515625" bestFit="1" customWidth="1"/>
    <col min="3573" max="3573" width="10.28515625" bestFit="1" customWidth="1"/>
    <col min="3574" max="3575" width="9.28515625" bestFit="1" customWidth="1"/>
    <col min="3577" max="3577" width="10.28515625" bestFit="1" customWidth="1"/>
    <col min="3578" max="3579" width="9.28515625" bestFit="1" customWidth="1"/>
    <col min="3581" max="3581" width="10.28515625" bestFit="1" customWidth="1"/>
    <col min="3582" max="3583" width="9.28515625" bestFit="1" customWidth="1"/>
    <col min="3585" max="3585" width="10.28515625" bestFit="1" customWidth="1"/>
    <col min="3586" max="3587" width="9.28515625" bestFit="1" customWidth="1"/>
    <col min="3589" max="3589" width="10.28515625" bestFit="1" customWidth="1"/>
    <col min="3590" max="3591" width="9.28515625" bestFit="1" customWidth="1"/>
    <col min="3593" max="3593" width="10.28515625" bestFit="1" customWidth="1"/>
    <col min="3594" max="3595" width="9.28515625" bestFit="1" customWidth="1"/>
    <col min="3597" max="3597" width="10.28515625" bestFit="1" customWidth="1"/>
    <col min="3598" max="3599" width="9.28515625" bestFit="1" customWidth="1"/>
    <col min="3601" max="3601" width="10.28515625" bestFit="1" customWidth="1"/>
    <col min="3602" max="3603" width="9.28515625" bestFit="1" customWidth="1"/>
    <col min="3605" max="3605" width="10.28515625" bestFit="1" customWidth="1"/>
    <col min="3606" max="3607" width="9.28515625" bestFit="1" customWidth="1"/>
    <col min="3609" max="3609" width="10.28515625" bestFit="1" customWidth="1"/>
    <col min="3610" max="3611" width="9.28515625" bestFit="1" customWidth="1"/>
    <col min="3613" max="3613" width="10.28515625" bestFit="1" customWidth="1"/>
    <col min="3614" max="3615" width="9.28515625" bestFit="1" customWidth="1"/>
    <col min="3617" max="3617" width="10.28515625" bestFit="1" customWidth="1"/>
    <col min="3618" max="3619" width="9.28515625" bestFit="1" customWidth="1"/>
    <col min="3621" max="3621" width="10.28515625" bestFit="1" customWidth="1"/>
    <col min="3622" max="3623" width="9.28515625" bestFit="1" customWidth="1"/>
    <col min="3625" max="3625" width="10.28515625" bestFit="1" customWidth="1"/>
    <col min="3626" max="3627" width="9.28515625" bestFit="1" customWidth="1"/>
    <col min="3629" max="3629" width="10.28515625" bestFit="1" customWidth="1"/>
    <col min="3630" max="3631" width="9.28515625" bestFit="1" customWidth="1"/>
    <col min="3633" max="3633" width="10.28515625" bestFit="1" customWidth="1"/>
    <col min="3634" max="3635" width="9.28515625" bestFit="1" customWidth="1"/>
    <col min="3637" max="3637" width="10.28515625" bestFit="1" customWidth="1"/>
    <col min="3638" max="3639" width="9.28515625" bestFit="1" customWidth="1"/>
    <col min="3641" max="3641" width="10.28515625" bestFit="1" customWidth="1"/>
    <col min="3642" max="3643" width="9.28515625" bestFit="1" customWidth="1"/>
    <col min="3645" max="3645" width="10.28515625" bestFit="1" customWidth="1"/>
    <col min="3646" max="3647" width="9.28515625" bestFit="1" customWidth="1"/>
    <col min="3649" max="3649" width="10.28515625" bestFit="1" customWidth="1"/>
    <col min="3650" max="3651" width="9.28515625" bestFit="1" customWidth="1"/>
    <col min="3653" max="3653" width="10.28515625" bestFit="1" customWidth="1"/>
    <col min="3654" max="3655" width="9.28515625" bestFit="1" customWidth="1"/>
    <col min="3657" max="3657" width="10.28515625" bestFit="1" customWidth="1"/>
    <col min="3658" max="3659" width="9.28515625" bestFit="1" customWidth="1"/>
    <col min="3661" max="3661" width="10.28515625" bestFit="1" customWidth="1"/>
    <col min="3662" max="3663" width="9.28515625" bestFit="1" customWidth="1"/>
    <col min="3665" max="3665" width="10.28515625" bestFit="1" customWidth="1"/>
    <col min="3666" max="3667" width="9.28515625" bestFit="1" customWidth="1"/>
    <col min="3669" max="3669" width="10.28515625" bestFit="1" customWidth="1"/>
    <col min="3670" max="3671" width="9.28515625" bestFit="1" customWidth="1"/>
    <col min="3673" max="3673" width="10.28515625" bestFit="1" customWidth="1"/>
    <col min="3674" max="3675" width="9.28515625" bestFit="1" customWidth="1"/>
    <col min="3677" max="3677" width="10.28515625" bestFit="1" customWidth="1"/>
    <col min="3678" max="3679" width="9.28515625" bestFit="1" customWidth="1"/>
    <col min="3681" max="3681" width="10.28515625" bestFit="1" customWidth="1"/>
    <col min="3682" max="3683" width="9.28515625" bestFit="1" customWidth="1"/>
    <col min="3685" max="3685" width="10.28515625" bestFit="1" customWidth="1"/>
    <col min="3686" max="3687" width="9.28515625" bestFit="1" customWidth="1"/>
    <col min="3689" max="3689" width="10.28515625" bestFit="1" customWidth="1"/>
    <col min="3690" max="3691" width="9.28515625" bestFit="1" customWidth="1"/>
    <col min="3693" max="3693" width="10.28515625" bestFit="1" customWidth="1"/>
    <col min="3694" max="3695" width="9.28515625" bestFit="1" customWidth="1"/>
    <col min="3697" max="3697" width="10.28515625" bestFit="1" customWidth="1"/>
    <col min="3698" max="3699" width="9.28515625" bestFit="1" customWidth="1"/>
    <col min="3701" max="3701" width="10.28515625" bestFit="1" customWidth="1"/>
    <col min="3702" max="3703" width="9.28515625" bestFit="1" customWidth="1"/>
    <col min="3705" max="3705" width="10.28515625" bestFit="1" customWidth="1"/>
    <col min="3706" max="3707" width="9.28515625" bestFit="1" customWidth="1"/>
    <col min="3709" max="3709" width="10.28515625" bestFit="1" customWidth="1"/>
    <col min="3710" max="3711" width="9.28515625" bestFit="1" customWidth="1"/>
    <col min="3713" max="3713" width="10.28515625" bestFit="1" customWidth="1"/>
    <col min="3714" max="3715" width="9.28515625" bestFit="1" customWidth="1"/>
    <col min="3717" max="3717" width="10.28515625" bestFit="1" customWidth="1"/>
    <col min="3718" max="3719" width="9.28515625" bestFit="1" customWidth="1"/>
    <col min="3721" max="3721" width="10.28515625" bestFit="1" customWidth="1"/>
    <col min="3722" max="3723" width="9.28515625" bestFit="1" customWidth="1"/>
    <col min="3725" max="3725" width="10.28515625" bestFit="1" customWidth="1"/>
    <col min="3726" max="3727" width="9.28515625" bestFit="1" customWidth="1"/>
    <col min="3729" max="3729" width="10.28515625" bestFit="1" customWidth="1"/>
    <col min="3730" max="3731" width="9.28515625" bestFit="1" customWidth="1"/>
    <col min="3733" max="3733" width="10.28515625" bestFit="1" customWidth="1"/>
    <col min="3734" max="3735" width="9.28515625" bestFit="1" customWidth="1"/>
    <col min="3737" max="3737" width="10.28515625" bestFit="1" customWidth="1"/>
    <col min="3738" max="3739" width="9.28515625" bestFit="1" customWidth="1"/>
    <col min="3741" max="3741" width="10.28515625" bestFit="1" customWidth="1"/>
    <col min="3742" max="3743" width="9.28515625" bestFit="1" customWidth="1"/>
    <col min="3745" max="3745" width="10.28515625" bestFit="1" customWidth="1"/>
    <col min="3746" max="3747" width="9.28515625" bestFit="1" customWidth="1"/>
    <col min="3749" max="3749" width="10.28515625" bestFit="1" customWidth="1"/>
    <col min="3750" max="3751" width="9.28515625" bestFit="1" customWidth="1"/>
    <col min="3753" max="3753" width="10.28515625" bestFit="1" customWidth="1"/>
    <col min="3754" max="3755" width="9.28515625" bestFit="1" customWidth="1"/>
    <col min="3757" max="3757" width="10.28515625" bestFit="1" customWidth="1"/>
    <col min="3758" max="3759" width="9.28515625" bestFit="1" customWidth="1"/>
    <col min="3761" max="3761" width="10.28515625" bestFit="1" customWidth="1"/>
    <col min="3762" max="3763" width="9.28515625" bestFit="1" customWidth="1"/>
    <col min="3765" max="3765" width="10.28515625" bestFit="1" customWidth="1"/>
    <col min="3766" max="3767" width="9.28515625" bestFit="1" customWidth="1"/>
    <col min="3769" max="3769" width="10.28515625" bestFit="1" customWidth="1"/>
    <col min="3770" max="3771" width="9.28515625" bestFit="1" customWidth="1"/>
    <col min="3773" max="3773" width="10.28515625" bestFit="1" customWidth="1"/>
    <col min="3774" max="3775" width="9.28515625" bestFit="1" customWidth="1"/>
    <col min="3777" max="3777" width="10.28515625" bestFit="1" customWidth="1"/>
    <col min="3778" max="3779" width="9.28515625" bestFit="1" customWidth="1"/>
    <col min="3781" max="3781" width="10.28515625" bestFit="1" customWidth="1"/>
    <col min="3782" max="3783" width="9.28515625" bestFit="1" customWidth="1"/>
    <col min="3785" max="3785" width="10.28515625" bestFit="1" customWidth="1"/>
    <col min="3786" max="3787" width="9.28515625" bestFit="1" customWidth="1"/>
    <col min="3789" max="3789" width="10.28515625" bestFit="1" customWidth="1"/>
    <col min="3790" max="3791" width="9.28515625" bestFit="1" customWidth="1"/>
    <col min="3793" max="3793" width="10.28515625" bestFit="1" customWidth="1"/>
    <col min="3794" max="3795" width="9.28515625" bestFit="1" customWidth="1"/>
    <col min="3797" max="3797" width="10.28515625" bestFit="1" customWidth="1"/>
    <col min="3798" max="3799" width="9.28515625" bestFit="1" customWidth="1"/>
    <col min="3801" max="3801" width="10.28515625" bestFit="1" customWidth="1"/>
    <col min="3802" max="3803" width="9.28515625" bestFit="1" customWidth="1"/>
    <col min="3805" max="3805" width="10.28515625" bestFit="1" customWidth="1"/>
    <col min="3806" max="3807" width="9.28515625" bestFit="1" customWidth="1"/>
    <col min="3809" max="3809" width="10.28515625" bestFit="1" customWidth="1"/>
    <col min="3810" max="3811" width="9.28515625" bestFit="1" customWidth="1"/>
    <col min="3813" max="3813" width="10.28515625" bestFit="1" customWidth="1"/>
    <col min="3814" max="3815" width="9.28515625" bestFit="1" customWidth="1"/>
    <col min="3817" max="3817" width="10.28515625" bestFit="1" customWidth="1"/>
    <col min="3818" max="3819" width="9.28515625" bestFit="1" customWidth="1"/>
    <col min="3821" max="3821" width="10.28515625" bestFit="1" customWidth="1"/>
    <col min="3822" max="3823" width="9.28515625" bestFit="1" customWidth="1"/>
    <col min="3825" max="3825" width="10.28515625" bestFit="1" customWidth="1"/>
    <col min="3826" max="3827" width="9.28515625" bestFit="1" customWidth="1"/>
    <col min="3829" max="3829" width="10.28515625" bestFit="1" customWidth="1"/>
    <col min="3830" max="3831" width="9.28515625" bestFit="1" customWidth="1"/>
    <col min="3833" max="3833" width="10.28515625" bestFit="1" customWidth="1"/>
    <col min="3834" max="3835" width="9.28515625" bestFit="1" customWidth="1"/>
    <col min="3837" max="3837" width="10.28515625" bestFit="1" customWidth="1"/>
    <col min="3838" max="3839" width="9.28515625" bestFit="1" customWidth="1"/>
    <col min="3841" max="3841" width="10.28515625" bestFit="1" customWidth="1"/>
    <col min="3842" max="3843" width="9.28515625" bestFit="1" customWidth="1"/>
    <col min="3845" max="3845" width="10.28515625" bestFit="1" customWidth="1"/>
    <col min="3846" max="3847" width="9.28515625" bestFit="1" customWidth="1"/>
    <col min="3849" max="3849" width="10.28515625" bestFit="1" customWidth="1"/>
    <col min="3850" max="3851" width="9.28515625" bestFit="1" customWidth="1"/>
    <col min="3853" max="3853" width="10.28515625" bestFit="1" customWidth="1"/>
    <col min="3854" max="3855" width="9.28515625" bestFit="1" customWidth="1"/>
    <col min="3857" max="3857" width="10.28515625" bestFit="1" customWidth="1"/>
    <col min="3858" max="3859" width="9.28515625" bestFit="1" customWidth="1"/>
    <col min="3861" max="3861" width="10.28515625" bestFit="1" customWidth="1"/>
    <col min="3862" max="3863" width="9.28515625" bestFit="1" customWidth="1"/>
    <col min="3865" max="3865" width="10.28515625" bestFit="1" customWidth="1"/>
    <col min="3866" max="3867" width="9.28515625" bestFit="1" customWidth="1"/>
    <col min="3869" max="3869" width="10.28515625" bestFit="1" customWidth="1"/>
    <col min="3870" max="3871" width="9.28515625" bestFit="1" customWidth="1"/>
    <col min="3873" max="3873" width="10.28515625" bestFit="1" customWidth="1"/>
    <col min="3874" max="3875" width="9.28515625" bestFit="1" customWidth="1"/>
    <col min="3877" max="3877" width="10.28515625" bestFit="1" customWidth="1"/>
    <col min="3878" max="3879" width="9.28515625" bestFit="1" customWidth="1"/>
    <col min="3881" max="3881" width="10.28515625" bestFit="1" customWidth="1"/>
    <col min="3882" max="3883" width="9.28515625" bestFit="1" customWidth="1"/>
    <col min="3885" max="3885" width="10.28515625" bestFit="1" customWidth="1"/>
    <col min="3886" max="3887" width="9.28515625" bestFit="1" customWidth="1"/>
    <col min="3889" max="3889" width="10.28515625" bestFit="1" customWidth="1"/>
    <col min="3890" max="3891" width="9.28515625" bestFit="1" customWidth="1"/>
    <col min="3893" max="3893" width="10.28515625" bestFit="1" customWidth="1"/>
    <col min="3894" max="3895" width="9.28515625" bestFit="1" customWidth="1"/>
    <col min="3897" max="3897" width="10.28515625" bestFit="1" customWidth="1"/>
    <col min="3898" max="3899" width="9.28515625" bestFit="1" customWidth="1"/>
    <col min="3901" max="3901" width="10.28515625" bestFit="1" customWidth="1"/>
    <col min="3902" max="3903" width="9.28515625" bestFit="1" customWidth="1"/>
    <col min="3905" max="3905" width="10.28515625" bestFit="1" customWidth="1"/>
    <col min="3906" max="3907" width="9.28515625" bestFit="1" customWidth="1"/>
    <col min="3909" max="3909" width="10.28515625" bestFit="1" customWidth="1"/>
    <col min="3910" max="3911" width="9.28515625" bestFit="1" customWidth="1"/>
    <col min="3913" max="3913" width="10.28515625" bestFit="1" customWidth="1"/>
    <col min="3914" max="3915" width="9.28515625" bestFit="1" customWidth="1"/>
    <col min="3917" max="3917" width="10.28515625" bestFit="1" customWidth="1"/>
    <col min="3918" max="3919" width="9.28515625" bestFit="1" customWidth="1"/>
    <col min="3921" max="3921" width="10.28515625" bestFit="1" customWidth="1"/>
    <col min="3922" max="3923" width="9.28515625" bestFit="1" customWidth="1"/>
    <col min="3925" max="3925" width="10.28515625" bestFit="1" customWidth="1"/>
    <col min="3926" max="3927" width="9.28515625" bestFit="1" customWidth="1"/>
    <col min="3929" max="3929" width="10.28515625" bestFit="1" customWidth="1"/>
    <col min="3930" max="3931" width="9.28515625" bestFit="1" customWidth="1"/>
    <col min="3933" max="3933" width="10.28515625" bestFit="1" customWidth="1"/>
    <col min="3934" max="3935" width="9.28515625" bestFit="1" customWidth="1"/>
    <col min="3937" max="3937" width="10.28515625" bestFit="1" customWidth="1"/>
    <col min="3938" max="3939" width="9.28515625" bestFit="1" customWidth="1"/>
    <col min="3941" max="3941" width="10.28515625" bestFit="1" customWidth="1"/>
    <col min="3942" max="3943" width="9.28515625" bestFit="1" customWidth="1"/>
    <col min="3945" max="3945" width="10.28515625" bestFit="1" customWidth="1"/>
    <col min="3946" max="3947" width="9.28515625" bestFit="1" customWidth="1"/>
    <col min="3949" max="3949" width="10.28515625" bestFit="1" customWidth="1"/>
    <col min="3950" max="3951" width="9.28515625" bestFit="1" customWidth="1"/>
    <col min="3953" max="3953" width="10.28515625" bestFit="1" customWidth="1"/>
    <col min="3954" max="3955" width="9.28515625" bestFit="1" customWidth="1"/>
    <col min="3957" max="3957" width="10.28515625" bestFit="1" customWidth="1"/>
    <col min="3958" max="3959" width="9.28515625" bestFit="1" customWidth="1"/>
    <col min="3961" max="3961" width="10.28515625" bestFit="1" customWidth="1"/>
    <col min="3962" max="3963" width="9.28515625" bestFit="1" customWidth="1"/>
    <col min="3965" max="3965" width="10.28515625" bestFit="1" customWidth="1"/>
    <col min="3966" max="3967" width="9.28515625" bestFit="1" customWidth="1"/>
    <col min="3969" max="3969" width="10.28515625" bestFit="1" customWidth="1"/>
    <col min="3970" max="3971" width="9.28515625" bestFit="1" customWidth="1"/>
    <col min="3973" max="3973" width="10.28515625" bestFit="1" customWidth="1"/>
    <col min="3974" max="3975" width="9.28515625" bestFit="1" customWidth="1"/>
    <col min="3977" max="3977" width="10.28515625" bestFit="1" customWidth="1"/>
    <col min="3978" max="3979" width="9.28515625" bestFit="1" customWidth="1"/>
    <col min="3981" max="3981" width="10.28515625" bestFit="1" customWidth="1"/>
    <col min="3982" max="3983" width="9.28515625" bestFit="1" customWidth="1"/>
    <col min="3985" max="3985" width="10.28515625" bestFit="1" customWidth="1"/>
    <col min="3986" max="3987" width="9.28515625" bestFit="1" customWidth="1"/>
    <col min="3989" max="3989" width="10.28515625" bestFit="1" customWidth="1"/>
    <col min="3990" max="3991" width="9.28515625" bestFit="1" customWidth="1"/>
    <col min="3993" max="3993" width="10.28515625" bestFit="1" customWidth="1"/>
    <col min="3994" max="3995" width="9.28515625" bestFit="1" customWidth="1"/>
    <col min="3997" max="3997" width="10.28515625" bestFit="1" customWidth="1"/>
    <col min="3998" max="3999" width="9.28515625" bestFit="1" customWidth="1"/>
    <col min="4001" max="4001" width="10.28515625" bestFit="1" customWidth="1"/>
    <col min="4002" max="4003" width="9.28515625" bestFit="1" customWidth="1"/>
    <col min="4005" max="4005" width="10.28515625" bestFit="1" customWidth="1"/>
    <col min="4006" max="4007" width="9.28515625" bestFit="1" customWidth="1"/>
    <col min="4009" max="4009" width="10.28515625" bestFit="1" customWidth="1"/>
    <col min="4010" max="4011" width="9.28515625" bestFit="1" customWidth="1"/>
    <col min="4013" max="4013" width="10.28515625" bestFit="1" customWidth="1"/>
    <col min="4014" max="4015" width="9.28515625" bestFit="1" customWidth="1"/>
    <col min="4017" max="4017" width="10.28515625" bestFit="1" customWidth="1"/>
    <col min="4018" max="4019" width="9.28515625" bestFit="1" customWidth="1"/>
    <col min="4021" max="4021" width="10.28515625" bestFit="1" customWidth="1"/>
    <col min="4022" max="4023" width="9.28515625" bestFit="1" customWidth="1"/>
    <col min="4025" max="4025" width="10.28515625" bestFit="1" customWidth="1"/>
    <col min="4026" max="4027" width="9.28515625" bestFit="1" customWidth="1"/>
    <col min="4029" max="4029" width="10.28515625" bestFit="1" customWidth="1"/>
    <col min="4030" max="4031" width="9.28515625" bestFit="1" customWidth="1"/>
    <col min="4033" max="4033" width="10.28515625" bestFit="1" customWidth="1"/>
    <col min="4034" max="4035" width="9.28515625" bestFit="1" customWidth="1"/>
    <col min="4037" max="4037" width="10.28515625" bestFit="1" customWidth="1"/>
    <col min="4038" max="4039" width="9.28515625" bestFit="1" customWidth="1"/>
    <col min="4041" max="4041" width="10.28515625" bestFit="1" customWidth="1"/>
    <col min="4042" max="4043" width="9.28515625" bestFit="1" customWidth="1"/>
    <col min="4045" max="4045" width="10.28515625" bestFit="1" customWidth="1"/>
    <col min="4046" max="4047" width="9.28515625" bestFit="1" customWidth="1"/>
    <col min="4049" max="4049" width="10.28515625" bestFit="1" customWidth="1"/>
    <col min="4050" max="4051" width="9.28515625" bestFit="1" customWidth="1"/>
    <col min="4053" max="4053" width="10.28515625" bestFit="1" customWidth="1"/>
    <col min="4054" max="4055" width="9.28515625" bestFit="1" customWidth="1"/>
    <col min="4057" max="4057" width="10.28515625" bestFit="1" customWidth="1"/>
    <col min="4058" max="4059" width="9.28515625" bestFit="1" customWidth="1"/>
    <col min="4061" max="4061" width="10.28515625" bestFit="1" customWidth="1"/>
    <col min="4062" max="4063" width="9.28515625" bestFit="1" customWidth="1"/>
    <col min="4065" max="4065" width="10.28515625" bestFit="1" customWidth="1"/>
    <col min="4066" max="4067" width="9.28515625" bestFit="1" customWidth="1"/>
    <col min="4069" max="4069" width="10.28515625" bestFit="1" customWidth="1"/>
    <col min="4070" max="4071" width="9.28515625" bestFit="1" customWidth="1"/>
    <col min="4073" max="4073" width="10.28515625" bestFit="1" customWidth="1"/>
    <col min="4074" max="4075" width="9.28515625" bestFit="1" customWidth="1"/>
    <col min="4077" max="4077" width="10.28515625" bestFit="1" customWidth="1"/>
    <col min="4078" max="4079" width="9.28515625" bestFit="1" customWidth="1"/>
    <col min="4081" max="4081" width="10.28515625" bestFit="1" customWidth="1"/>
    <col min="4082" max="4083" width="9.28515625" bestFit="1" customWidth="1"/>
    <col min="4085" max="4085" width="10.28515625" bestFit="1" customWidth="1"/>
    <col min="4086" max="4087" width="9.28515625" bestFit="1" customWidth="1"/>
    <col min="4089" max="4089" width="10.28515625" bestFit="1" customWidth="1"/>
    <col min="4090" max="4091" width="9.28515625" bestFit="1" customWidth="1"/>
    <col min="4093" max="4093" width="10.28515625" bestFit="1" customWidth="1"/>
    <col min="4094" max="4095" width="9.28515625" bestFit="1" customWidth="1"/>
    <col min="4097" max="4097" width="10.28515625" bestFit="1" customWidth="1"/>
    <col min="4098" max="4099" width="9.28515625" bestFit="1" customWidth="1"/>
    <col min="4101" max="4101" width="10.28515625" bestFit="1" customWidth="1"/>
    <col min="4102" max="4103" width="9.28515625" bestFit="1" customWidth="1"/>
    <col min="4105" max="4105" width="10.28515625" bestFit="1" customWidth="1"/>
    <col min="4106" max="4107" width="9.28515625" bestFit="1" customWidth="1"/>
    <col min="4109" max="4109" width="10.28515625" bestFit="1" customWidth="1"/>
    <col min="4110" max="4111" width="9.28515625" bestFit="1" customWidth="1"/>
    <col min="4113" max="4113" width="10.28515625" bestFit="1" customWidth="1"/>
    <col min="4114" max="4115" width="9.28515625" bestFit="1" customWidth="1"/>
    <col min="4117" max="4117" width="10.28515625" bestFit="1" customWidth="1"/>
    <col min="4118" max="4119" width="9.28515625" bestFit="1" customWidth="1"/>
    <col min="4121" max="4121" width="10.28515625" bestFit="1" customWidth="1"/>
    <col min="4122" max="4123" width="9.28515625" bestFit="1" customWidth="1"/>
    <col min="4125" max="4125" width="10.28515625" bestFit="1" customWidth="1"/>
    <col min="4126" max="4127" width="9.28515625" bestFit="1" customWidth="1"/>
    <col min="4129" max="4129" width="10.28515625" bestFit="1" customWidth="1"/>
    <col min="4130" max="4131" width="9.28515625" bestFit="1" customWidth="1"/>
    <col min="4133" max="4133" width="10.28515625" bestFit="1" customWidth="1"/>
    <col min="4134" max="4135" width="9.28515625" bestFit="1" customWidth="1"/>
    <col min="4137" max="4137" width="10.28515625" bestFit="1" customWidth="1"/>
    <col min="4138" max="4139" width="9.28515625" bestFit="1" customWidth="1"/>
    <col min="4141" max="4141" width="10.28515625" bestFit="1" customWidth="1"/>
    <col min="4142" max="4143" width="9.28515625" bestFit="1" customWidth="1"/>
    <col min="4145" max="4145" width="10.28515625" bestFit="1" customWidth="1"/>
    <col min="4146" max="4147" width="9.28515625" bestFit="1" customWidth="1"/>
    <col min="4149" max="4149" width="10.28515625" bestFit="1" customWidth="1"/>
    <col min="4150" max="4151" width="9.28515625" bestFit="1" customWidth="1"/>
    <col min="4153" max="4153" width="10.28515625" bestFit="1" customWidth="1"/>
    <col min="4154" max="4155" width="9.28515625" bestFit="1" customWidth="1"/>
    <col min="4157" max="4157" width="10.28515625" bestFit="1" customWidth="1"/>
    <col min="4158" max="4159" width="9.28515625" bestFit="1" customWidth="1"/>
    <col min="4161" max="4161" width="10.28515625" bestFit="1" customWidth="1"/>
    <col min="4162" max="4163" width="9.28515625" bestFit="1" customWidth="1"/>
    <col min="4165" max="4165" width="10.28515625" bestFit="1" customWidth="1"/>
    <col min="4166" max="4167" width="9.28515625" bestFit="1" customWidth="1"/>
    <col min="4169" max="4169" width="10.28515625" bestFit="1" customWidth="1"/>
    <col min="4170" max="4171" width="9.28515625" bestFit="1" customWidth="1"/>
    <col min="4173" max="4173" width="10.28515625" bestFit="1" customWidth="1"/>
    <col min="4174" max="4175" width="9.28515625" bestFit="1" customWidth="1"/>
    <col min="4177" max="4177" width="10.28515625" bestFit="1" customWidth="1"/>
    <col min="4178" max="4179" width="9.28515625" bestFit="1" customWidth="1"/>
    <col min="4181" max="4181" width="10.28515625" bestFit="1" customWidth="1"/>
    <col min="4182" max="4183" width="9.28515625" bestFit="1" customWidth="1"/>
    <col min="4185" max="4185" width="10.28515625" bestFit="1" customWidth="1"/>
    <col min="4186" max="4187" width="9.28515625" bestFit="1" customWidth="1"/>
    <col min="4189" max="4189" width="10.28515625" bestFit="1" customWidth="1"/>
    <col min="4190" max="4191" width="9.28515625" bestFit="1" customWidth="1"/>
    <col min="4193" max="4193" width="10.28515625" bestFit="1" customWidth="1"/>
    <col min="4194" max="4195" width="9.28515625" bestFit="1" customWidth="1"/>
    <col min="4197" max="4197" width="10.28515625" bestFit="1" customWidth="1"/>
    <col min="4198" max="4199" width="9.28515625" bestFit="1" customWidth="1"/>
    <col min="4201" max="4201" width="10.28515625" bestFit="1" customWidth="1"/>
    <col min="4202" max="4203" width="9.28515625" bestFit="1" customWidth="1"/>
    <col min="4205" max="4205" width="10.28515625" bestFit="1" customWidth="1"/>
    <col min="4206" max="4207" width="9.28515625" bestFit="1" customWidth="1"/>
    <col min="4209" max="4209" width="10.28515625" bestFit="1" customWidth="1"/>
    <col min="4210" max="4211" width="9.28515625" bestFit="1" customWidth="1"/>
    <col min="4213" max="4213" width="10.28515625" bestFit="1" customWidth="1"/>
    <col min="4214" max="4215" width="9.28515625" bestFit="1" customWidth="1"/>
    <col min="4217" max="4217" width="10.28515625" bestFit="1" customWidth="1"/>
    <col min="4218" max="4219" width="9.28515625" bestFit="1" customWidth="1"/>
    <col min="4221" max="4221" width="10.28515625" bestFit="1" customWidth="1"/>
    <col min="4222" max="4223" width="9.28515625" bestFit="1" customWidth="1"/>
    <col min="4225" max="4225" width="10.28515625" bestFit="1" customWidth="1"/>
    <col min="4226" max="4227" width="9.28515625" bestFit="1" customWidth="1"/>
    <col min="4229" max="4229" width="10.28515625" bestFit="1" customWidth="1"/>
    <col min="4230" max="4231" width="9.28515625" bestFit="1" customWidth="1"/>
    <col min="4233" max="4233" width="10.28515625" bestFit="1" customWidth="1"/>
    <col min="4234" max="4235" width="9.28515625" bestFit="1" customWidth="1"/>
    <col min="4237" max="4237" width="10.28515625" bestFit="1" customWidth="1"/>
    <col min="4238" max="4239" width="9.28515625" bestFit="1" customWidth="1"/>
    <col min="4241" max="4241" width="10.28515625" bestFit="1" customWidth="1"/>
    <col min="4242" max="4243" width="9.28515625" bestFit="1" customWidth="1"/>
    <col min="4245" max="4245" width="10.28515625" bestFit="1" customWidth="1"/>
    <col min="4246" max="4247" width="9.28515625" bestFit="1" customWidth="1"/>
    <col min="4249" max="4249" width="10.28515625" bestFit="1" customWidth="1"/>
    <col min="4250" max="4251" width="9.28515625" bestFit="1" customWidth="1"/>
    <col min="4253" max="4253" width="10.28515625" bestFit="1" customWidth="1"/>
    <col min="4254" max="4255" width="9.28515625" bestFit="1" customWidth="1"/>
    <col min="4257" max="4257" width="10.28515625" bestFit="1" customWidth="1"/>
    <col min="4258" max="4259" width="9.28515625" bestFit="1" customWidth="1"/>
    <col min="4261" max="4261" width="10.28515625" bestFit="1" customWidth="1"/>
    <col min="4262" max="4263" width="9.28515625" bestFit="1" customWidth="1"/>
    <col min="4265" max="4265" width="10.28515625" bestFit="1" customWidth="1"/>
    <col min="4266" max="4267" width="9.28515625" bestFit="1" customWidth="1"/>
    <col min="4269" max="4269" width="10.28515625" bestFit="1" customWidth="1"/>
    <col min="4270" max="4271" width="9.28515625" bestFit="1" customWidth="1"/>
    <col min="4273" max="4273" width="10.28515625" bestFit="1" customWidth="1"/>
    <col min="4274" max="4275" width="9.28515625" bestFit="1" customWidth="1"/>
    <col min="4277" max="4277" width="10.28515625" bestFit="1" customWidth="1"/>
    <col min="4278" max="4279" width="9.28515625" bestFit="1" customWidth="1"/>
    <col min="4281" max="4281" width="10.28515625" bestFit="1" customWidth="1"/>
    <col min="4282" max="4283" width="9.28515625" bestFit="1" customWidth="1"/>
    <col min="4285" max="4285" width="10.28515625" bestFit="1" customWidth="1"/>
    <col min="4286" max="4287" width="9.28515625" bestFit="1" customWidth="1"/>
    <col min="4289" max="4289" width="10.28515625" bestFit="1" customWidth="1"/>
    <col min="4290" max="4291" width="9.28515625" bestFit="1" customWidth="1"/>
    <col min="4293" max="4293" width="10.28515625" bestFit="1" customWidth="1"/>
    <col min="4294" max="4295" width="9.28515625" bestFit="1" customWidth="1"/>
    <col min="4297" max="4297" width="10.28515625" bestFit="1" customWidth="1"/>
    <col min="4298" max="4299" width="9.28515625" bestFit="1" customWidth="1"/>
    <col min="4301" max="4301" width="10.28515625" bestFit="1" customWidth="1"/>
    <col min="4302" max="4303" width="9.28515625" bestFit="1" customWidth="1"/>
    <col min="4305" max="4305" width="10.28515625" bestFit="1" customWidth="1"/>
    <col min="4306" max="4307" width="9.28515625" bestFit="1" customWidth="1"/>
    <col min="4309" max="4309" width="10.28515625" bestFit="1" customWidth="1"/>
    <col min="4310" max="4311" width="9.28515625" bestFit="1" customWidth="1"/>
    <col min="4313" max="4313" width="10.28515625" bestFit="1" customWidth="1"/>
    <col min="4314" max="4315" width="9.28515625" bestFit="1" customWidth="1"/>
    <col min="4317" max="4317" width="10.28515625" bestFit="1" customWidth="1"/>
    <col min="4318" max="4319" width="9.28515625" bestFit="1" customWidth="1"/>
    <col min="4321" max="4321" width="10.28515625" bestFit="1" customWidth="1"/>
    <col min="4322" max="4323" width="9.28515625" bestFit="1" customWidth="1"/>
    <col min="4325" max="4325" width="10.28515625" bestFit="1" customWidth="1"/>
    <col min="4326" max="4327" width="9.28515625" bestFit="1" customWidth="1"/>
    <col min="4329" max="4329" width="10.28515625" bestFit="1" customWidth="1"/>
    <col min="4330" max="4331" width="9.28515625" bestFit="1" customWidth="1"/>
    <col min="4333" max="4333" width="10.28515625" bestFit="1" customWidth="1"/>
    <col min="4334" max="4335" width="9.28515625" bestFit="1" customWidth="1"/>
    <col min="4337" max="4337" width="10.28515625" bestFit="1" customWidth="1"/>
    <col min="4338" max="4339" width="9.28515625" bestFit="1" customWidth="1"/>
    <col min="4341" max="4341" width="10.28515625" bestFit="1" customWidth="1"/>
    <col min="4342" max="4343" width="9.28515625" bestFit="1" customWidth="1"/>
    <col min="4345" max="4345" width="10.28515625" bestFit="1" customWidth="1"/>
    <col min="4346" max="4347" width="9.28515625" bestFit="1" customWidth="1"/>
    <col min="4349" max="4349" width="10.28515625" bestFit="1" customWidth="1"/>
    <col min="4350" max="4351" width="9.28515625" bestFit="1" customWidth="1"/>
    <col min="4353" max="4353" width="10.28515625" bestFit="1" customWidth="1"/>
    <col min="4354" max="4355" width="9.28515625" bestFit="1" customWidth="1"/>
    <col min="4357" max="4357" width="10.28515625" bestFit="1" customWidth="1"/>
    <col min="4358" max="4359" width="9.28515625" bestFit="1" customWidth="1"/>
    <col min="4361" max="4361" width="10.28515625" bestFit="1" customWidth="1"/>
    <col min="4362" max="4363" width="9.28515625" bestFit="1" customWidth="1"/>
    <col min="4365" max="4365" width="10.28515625" bestFit="1" customWidth="1"/>
    <col min="4366" max="4367" width="9.28515625" bestFit="1" customWidth="1"/>
    <col min="4369" max="4369" width="10.28515625" bestFit="1" customWidth="1"/>
    <col min="4370" max="4371" width="9.28515625" bestFit="1" customWidth="1"/>
    <col min="4373" max="4373" width="10.28515625" bestFit="1" customWidth="1"/>
    <col min="4374" max="4375" width="9.28515625" bestFit="1" customWidth="1"/>
    <col min="4377" max="4377" width="10.28515625" bestFit="1" customWidth="1"/>
    <col min="4378" max="4379" width="9.28515625" bestFit="1" customWidth="1"/>
    <col min="4381" max="4381" width="10.28515625" bestFit="1" customWidth="1"/>
    <col min="4382" max="4383" width="9.28515625" bestFit="1" customWidth="1"/>
    <col min="4385" max="4385" width="10.28515625" bestFit="1" customWidth="1"/>
    <col min="4386" max="4387" width="9.28515625" bestFit="1" customWidth="1"/>
    <col min="4389" max="4389" width="10.28515625" bestFit="1" customWidth="1"/>
    <col min="4390" max="4391" width="9.28515625" bestFit="1" customWidth="1"/>
    <col min="4393" max="4393" width="10.28515625" bestFit="1" customWidth="1"/>
    <col min="4394" max="4395" width="9.28515625" bestFit="1" customWidth="1"/>
    <col min="4397" max="4397" width="10.28515625" bestFit="1" customWidth="1"/>
    <col min="4398" max="4399" width="9.28515625" bestFit="1" customWidth="1"/>
    <col min="4401" max="4401" width="10.28515625" bestFit="1" customWidth="1"/>
    <col min="4402" max="4403" width="9.28515625" bestFit="1" customWidth="1"/>
    <col min="4405" max="4405" width="10.28515625" bestFit="1" customWidth="1"/>
    <col min="4406" max="4407" width="9.28515625" bestFit="1" customWidth="1"/>
    <col min="4409" max="4409" width="10.28515625" bestFit="1" customWidth="1"/>
    <col min="4410" max="4411" width="9.28515625" bestFit="1" customWidth="1"/>
    <col min="4413" max="4413" width="10.28515625" bestFit="1" customWidth="1"/>
    <col min="4414" max="4415" width="9.28515625" bestFit="1" customWidth="1"/>
    <col min="4417" max="4417" width="10.28515625" bestFit="1" customWidth="1"/>
    <col min="4418" max="4419" width="9.28515625" bestFit="1" customWidth="1"/>
    <col min="4421" max="4421" width="10.28515625" bestFit="1" customWidth="1"/>
    <col min="4422" max="4423" width="9.28515625" bestFit="1" customWidth="1"/>
    <col min="4425" max="4425" width="10.28515625" bestFit="1" customWidth="1"/>
    <col min="4426" max="4427" width="9.28515625" bestFit="1" customWidth="1"/>
    <col min="4429" max="4429" width="10.28515625" bestFit="1" customWidth="1"/>
    <col min="4430" max="4431" width="9.28515625" bestFit="1" customWidth="1"/>
    <col min="4433" max="4433" width="10.28515625" bestFit="1" customWidth="1"/>
    <col min="4434" max="4435" width="9.28515625" bestFit="1" customWidth="1"/>
    <col min="4437" max="4437" width="10.28515625" bestFit="1" customWidth="1"/>
    <col min="4438" max="4439" width="9.28515625" bestFit="1" customWidth="1"/>
    <col min="4441" max="4441" width="10.28515625" bestFit="1" customWidth="1"/>
    <col min="4442" max="4443" width="9.28515625" bestFit="1" customWidth="1"/>
    <col min="4445" max="4445" width="10.28515625" bestFit="1" customWidth="1"/>
    <col min="4446" max="4447" width="9.28515625" bestFit="1" customWidth="1"/>
    <col min="4449" max="4449" width="10.28515625" bestFit="1" customWidth="1"/>
    <col min="4450" max="4451" width="9.28515625" bestFit="1" customWidth="1"/>
    <col min="4453" max="4453" width="10.28515625" bestFit="1" customWidth="1"/>
    <col min="4454" max="4455" width="9.28515625" bestFit="1" customWidth="1"/>
    <col min="4457" max="4457" width="10.28515625" bestFit="1" customWidth="1"/>
    <col min="4458" max="4459" width="9.28515625" bestFit="1" customWidth="1"/>
    <col min="4461" max="4461" width="10.28515625" bestFit="1" customWidth="1"/>
    <col min="4462" max="4463" width="9.28515625" bestFit="1" customWidth="1"/>
    <col min="4465" max="4465" width="10.28515625" bestFit="1" customWidth="1"/>
    <col min="4466" max="4467" width="9.28515625" bestFit="1" customWidth="1"/>
    <col min="4469" max="4469" width="10.28515625" bestFit="1" customWidth="1"/>
    <col min="4470" max="4471" width="9.28515625" bestFit="1" customWidth="1"/>
    <col min="4473" max="4473" width="10.28515625" bestFit="1" customWidth="1"/>
    <col min="4474" max="4475" width="9.28515625" bestFit="1" customWidth="1"/>
    <col min="4477" max="4477" width="10.28515625" bestFit="1" customWidth="1"/>
    <col min="4478" max="4479" width="9.28515625" bestFit="1" customWidth="1"/>
    <col min="4481" max="4481" width="10.28515625" bestFit="1" customWidth="1"/>
    <col min="4482" max="4483" width="9.28515625" bestFit="1" customWidth="1"/>
    <col min="4485" max="4485" width="10.28515625" bestFit="1" customWidth="1"/>
    <col min="4486" max="4487" width="9.28515625" bestFit="1" customWidth="1"/>
    <col min="4489" max="4489" width="10.28515625" bestFit="1" customWidth="1"/>
    <col min="4490" max="4491" width="9.28515625" bestFit="1" customWidth="1"/>
    <col min="4493" max="4493" width="10.28515625" bestFit="1" customWidth="1"/>
    <col min="4494" max="4495" width="9.28515625" bestFit="1" customWidth="1"/>
    <col min="4497" max="4497" width="10.28515625" bestFit="1" customWidth="1"/>
    <col min="4498" max="4499" width="9.28515625" bestFit="1" customWidth="1"/>
    <col min="4501" max="4501" width="10.28515625" bestFit="1" customWidth="1"/>
    <col min="4502" max="4503" width="9.28515625" bestFit="1" customWidth="1"/>
    <col min="4505" max="4505" width="10.28515625" bestFit="1" customWidth="1"/>
    <col min="4506" max="4507" width="9.28515625" bestFit="1" customWidth="1"/>
    <col min="4509" max="4509" width="10.28515625" bestFit="1" customWidth="1"/>
    <col min="4510" max="4511" width="9.28515625" bestFit="1" customWidth="1"/>
    <col min="4513" max="4513" width="10.28515625" bestFit="1" customWidth="1"/>
    <col min="4514" max="4515" width="9.28515625" bestFit="1" customWidth="1"/>
    <col min="4517" max="4517" width="10.28515625" bestFit="1" customWidth="1"/>
    <col min="4518" max="4519" width="9.28515625" bestFit="1" customWidth="1"/>
    <col min="4521" max="4521" width="10.28515625" bestFit="1" customWidth="1"/>
    <col min="4522" max="4523" width="9.28515625" bestFit="1" customWidth="1"/>
    <col min="4525" max="4525" width="10.28515625" bestFit="1" customWidth="1"/>
    <col min="4526" max="4527" width="9.28515625" bestFit="1" customWidth="1"/>
    <col min="4529" max="4529" width="10.28515625" bestFit="1" customWidth="1"/>
    <col min="4530" max="4531" width="9.28515625" bestFit="1" customWidth="1"/>
    <col min="4533" max="4533" width="10.28515625" bestFit="1" customWidth="1"/>
    <col min="4534" max="4535" width="9.28515625" bestFit="1" customWidth="1"/>
    <col min="4537" max="4537" width="10.28515625" bestFit="1" customWidth="1"/>
    <col min="4538" max="4539" width="9.28515625" bestFit="1" customWidth="1"/>
    <col min="4541" max="4541" width="10.28515625" bestFit="1" customWidth="1"/>
    <col min="4542" max="4543" width="9.28515625" bestFit="1" customWidth="1"/>
    <col min="4545" max="4545" width="10.28515625" bestFit="1" customWidth="1"/>
    <col min="4546" max="4547" width="9.28515625" bestFit="1" customWidth="1"/>
    <col min="4549" max="4549" width="10.28515625" bestFit="1" customWidth="1"/>
    <col min="4550" max="4551" width="9.28515625" bestFit="1" customWidth="1"/>
    <col min="4553" max="4553" width="10.28515625" bestFit="1" customWidth="1"/>
    <col min="4554" max="4555" width="9.28515625" bestFit="1" customWidth="1"/>
    <col min="4557" max="4557" width="10.28515625" bestFit="1" customWidth="1"/>
    <col min="4558" max="4559" width="9.28515625" bestFit="1" customWidth="1"/>
    <col min="4561" max="4561" width="10.28515625" bestFit="1" customWidth="1"/>
    <col min="4562" max="4563" width="9.28515625" bestFit="1" customWidth="1"/>
    <col min="4565" max="4565" width="10.28515625" bestFit="1" customWidth="1"/>
    <col min="4566" max="4567" width="9.28515625" bestFit="1" customWidth="1"/>
    <col min="4569" max="4569" width="10.28515625" bestFit="1" customWidth="1"/>
    <col min="4570" max="4571" width="9.28515625" bestFit="1" customWidth="1"/>
    <col min="4573" max="4573" width="10.28515625" bestFit="1" customWidth="1"/>
    <col min="4574" max="4575" width="9.28515625" bestFit="1" customWidth="1"/>
    <col min="4577" max="4577" width="10.28515625" bestFit="1" customWidth="1"/>
    <col min="4578" max="4579" width="9.28515625" bestFit="1" customWidth="1"/>
    <col min="4581" max="4581" width="10.28515625" bestFit="1" customWidth="1"/>
    <col min="4582" max="4583" width="9.28515625" bestFit="1" customWidth="1"/>
    <col min="4585" max="4585" width="10.28515625" bestFit="1" customWidth="1"/>
    <col min="4586" max="4587" width="9.28515625" bestFit="1" customWidth="1"/>
    <col min="4589" max="4589" width="10.28515625" bestFit="1" customWidth="1"/>
    <col min="4590" max="4591" width="9.28515625" bestFit="1" customWidth="1"/>
    <col min="4593" max="4593" width="10.28515625" bestFit="1" customWidth="1"/>
    <col min="4594" max="4595" width="9.28515625" bestFit="1" customWidth="1"/>
    <col min="4597" max="4597" width="10.28515625" bestFit="1" customWidth="1"/>
    <col min="4598" max="4599" width="9.28515625" bestFit="1" customWidth="1"/>
    <col min="4601" max="4601" width="10.28515625" bestFit="1" customWidth="1"/>
    <col min="4602" max="4603" width="9.28515625" bestFit="1" customWidth="1"/>
    <col min="4605" max="4605" width="10.28515625" bestFit="1" customWidth="1"/>
    <col min="4606" max="4607" width="9.28515625" bestFit="1" customWidth="1"/>
    <col min="4609" max="4609" width="10.28515625" bestFit="1" customWidth="1"/>
    <col min="4610" max="4611" width="9.28515625" bestFit="1" customWidth="1"/>
    <col min="4613" max="4613" width="10.28515625" bestFit="1" customWidth="1"/>
    <col min="4614" max="4615" width="9.28515625" bestFit="1" customWidth="1"/>
    <col min="4617" max="4617" width="10.28515625" bestFit="1" customWidth="1"/>
    <col min="4618" max="4619" width="9.28515625" bestFit="1" customWidth="1"/>
    <col min="4621" max="4621" width="10.28515625" bestFit="1" customWidth="1"/>
    <col min="4622" max="4623" width="9.28515625" bestFit="1" customWidth="1"/>
    <col min="4625" max="4625" width="10.28515625" bestFit="1" customWidth="1"/>
    <col min="4626" max="4627" width="9.28515625" bestFit="1" customWidth="1"/>
    <col min="4629" max="4629" width="10.28515625" bestFit="1" customWidth="1"/>
    <col min="4630" max="4631" width="9.28515625" bestFit="1" customWidth="1"/>
    <col min="4633" max="4633" width="10.28515625" bestFit="1" customWidth="1"/>
    <col min="4634" max="4635" width="9.28515625" bestFit="1" customWidth="1"/>
    <col min="4637" max="4637" width="10.28515625" bestFit="1" customWidth="1"/>
    <col min="4638" max="4639" width="9.28515625" bestFit="1" customWidth="1"/>
    <col min="4641" max="4641" width="10.28515625" bestFit="1" customWidth="1"/>
    <col min="4642" max="4643" width="9.28515625" bestFit="1" customWidth="1"/>
    <col min="4645" max="4645" width="10.28515625" bestFit="1" customWidth="1"/>
    <col min="4646" max="4647" width="9.28515625" bestFit="1" customWidth="1"/>
    <col min="4649" max="4649" width="10.28515625" bestFit="1" customWidth="1"/>
    <col min="4650" max="4651" width="9.28515625" bestFit="1" customWidth="1"/>
    <col min="4653" max="4653" width="10.28515625" bestFit="1" customWidth="1"/>
    <col min="4654" max="4655" width="9.28515625" bestFit="1" customWidth="1"/>
    <col min="4657" max="4657" width="10.28515625" bestFit="1" customWidth="1"/>
    <col min="4658" max="4659" width="9.28515625" bestFit="1" customWidth="1"/>
    <col min="4661" max="4661" width="10.28515625" bestFit="1" customWidth="1"/>
    <col min="4662" max="4663" width="9.28515625" bestFit="1" customWidth="1"/>
    <col min="4665" max="4665" width="10.28515625" bestFit="1" customWidth="1"/>
    <col min="4666" max="4667" width="9.28515625" bestFit="1" customWidth="1"/>
    <col min="4669" max="4669" width="10.28515625" bestFit="1" customWidth="1"/>
    <col min="4670" max="4671" width="9.28515625" bestFit="1" customWidth="1"/>
    <col min="4673" max="4673" width="10.28515625" bestFit="1" customWidth="1"/>
    <col min="4674" max="4675" width="9.28515625" bestFit="1" customWidth="1"/>
    <col min="4677" max="4677" width="10.28515625" bestFit="1" customWidth="1"/>
    <col min="4678" max="4679" width="9.28515625" bestFit="1" customWidth="1"/>
    <col min="4681" max="4681" width="10.28515625" bestFit="1" customWidth="1"/>
    <col min="4682" max="4683" width="9.28515625" bestFit="1" customWidth="1"/>
    <col min="4685" max="4685" width="10.28515625" bestFit="1" customWidth="1"/>
    <col min="4686" max="4687" width="9.28515625" bestFit="1" customWidth="1"/>
    <col min="4689" max="4689" width="10.28515625" bestFit="1" customWidth="1"/>
    <col min="4690" max="4691" width="9.28515625" bestFit="1" customWidth="1"/>
    <col min="4693" max="4693" width="10.28515625" bestFit="1" customWidth="1"/>
    <col min="4694" max="4695" width="9.28515625" bestFit="1" customWidth="1"/>
    <col min="4697" max="4697" width="10.28515625" bestFit="1" customWidth="1"/>
    <col min="4698" max="4699" width="9.28515625" bestFit="1" customWidth="1"/>
    <col min="4701" max="4701" width="10.28515625" bestFit="1" customWidth="1"/>
    <col min="4702" max="4703" width="9.28515625" bestFit="1" customWidth="1"/>
    <col min="4705" max="4705" width="10.28515625" bestFit="1" customWidth="1"/>
    <col min="4706" max="4707" width="9.28515625" bestFit="1" customWidth="1"/>
    <col min="4709" max="4709" width="10.28515625" bestFit="1" customWidth="1"/>
    <col min="4710" max="4711" width="9.28515625" bestFit="1" customWidth="1"/>
    <col min="4713" max="4713" width="10.28515625" bestFit="1" customWidth="1"/>
    <col min="4714" max="4715" width="9.28515625" bestFit="1" customWidth="1"/>
    <col min="4717" max="4717" width="10.28515625" bestFit="1" customWidth="1"/>
    <col min="4718" max="4719" width="9.28515625" bestFit="1" customWidth="1"/>
    <col min="4721" max="4721" width="10.28515625" bestFit="1" customWidth="1"/>
    <col min="4722" max="4723" width="9.28515625" bestFit="1" customWidth="1"/>
    <col min="4725" max="4725" width="10.28515625" bestFit="1" customWidth="1"/>
    <col min="4726" max="4727" width="9.28515625" bestFit="1" customWidth="1"/>
    <col min="4729" max="4729" width="10.28515625" bestFit="1" customWidth="1"/>
    <col min="4730" max="4731" width="9.28515625" bestFit="1" customWidth="1"/>
    <col min="4733" max="4733" width="10.28515625" bestFit="1" customWidth="1"/>
    <col min="4734" max="4735" width="9.28515625" bestFit="1" customWidth="1"/>
    <col min="4737" max="4737" width="10.28515625" bestFit="1" customWidth="1"/>
    <col min="4738" max="4739" width="9.28515625" bestFit="1" customWidth="1"/>
    <col min="4741" max="4741" width="10.28515625" bestFit="1" customWidth="1"/>
    <col min="4742" max="4743" width="9.28515625" bestFit="1" customWidth="1"/>
    <col min="4745" max="4745" width="10.28515625" bestFit="1" customWidth="1"/>
    <col min="4746" max="4747" width="9.28515625" bestFit="1" customWidth="1"/>
    <col min="4749" max="4749" width="10.28515625" bestFit="1" customWidth="1"/>
    <col min="4750" max="4751" width="9.28515625" bestFit="1" customWidth="1"/>
    <col min="4753" max="4753" width="10.28515625" bestFit="1" customWidth="1"/>
    <col min="4754" max="4755" width="9.28515625" bestFit="1" customWidth="1"/>
    <col min="4757" max="4757" width="10.28515625" bestFit="1" customWidth="1"/>
    <col min="4758" max="4759" width="9.28515625" bestFit="1" customWidth="1"/>
    <col min="4761" max="4761" width="10.28515625" bestFit="1" customWidth="1"/>
    <col min="4762" max="4763" width="9.28515625" bestFit="1" customWidth="1"/>
    <col min="4765" max="4765" width="10.28515625" bestFit="1" customWidth="1"/>
    <col min="4766" max="4767" width="9.28515625" bestFit="1" customWidth="1"/>
    <col min="4769" max="4769" width="10.28515625" bestFit="1" customWidth="1"/>
    <col min="4770" max="4771" width="9.28515625" bestFit="1" customWidth="1"/>
    <col min="4773" max="4773" width="10.28515625" bestFit="1" customWidth="1"/>
    <col min="4774" max="4775" width="9.28515625" bestFit="1" customWidth="1"/>
    <col min="4777" max="4777" width="10.28515625" bestFit="1" customWidth="1"/>
    <col min="4778" max="4779" width="9.28515625" bestFit="1" customWidth="1"/>
    <col min="4781" max="4781" width="10.28515625" bestFit="1" customWidth="1"/>
    <col min="4782" max="4783" width="9.28515625" bestFit="1" customWidth="1"/>
    <col min="4785" max="4785" width="10.28515625" bestFit="1" customWidth="1"/>
    <col min="4786" max="4787" width="9.28515625" bestFit="1" customWidth="1"/>
    <col min="4789" max="4789" width="10.28515625" bestFit="1" customWidth="1"/>
    <col min="4790" max="4791" width="9.28515625" bestFit="1" customWidth="1"/>
    <col min="4793" max="4793" width="10.28515625" bestFit="1" customWidth="1"/>
    <col min="4794" max="4795" width="9.28515625" bestFit="1" customWidth="1"/>
    <col min="4797" max="4797" width="10.28515625" bestFit="1" customWidth="1"/>
    <col min="4798" max="4799" width="9.28515625" bestFit="1" customWidth="1"/>
    <col min="4801" max="4801" width="10.28515625" bestFit="1" customWidth="1"/>
    <col min="4802" max="4803" width="9.28515625" bestFit="1" customWidth="1"/>
    <col min="4805" max="4805" width="10.28515625" bestFit="1" customWidth="1"/>
    <col min="4806" max="4807" width="9.28515625" bestFit="1" customWidth="1"/>
    <col min="4809" max="4809" width="10.28515625" bestFit="1" customWidth="1"/>
    <col min="4810" max="4811" width="9.28515625" bestFit="1" customWidth="1"/>
    <col min="4813" max="4813" width="10.28515625" bestFit="1" customWidth="1"/>
    <col min="4814" max="4815" width="9.28515625" bestFit="1" customWidth="1"/>
    <col min="4817" max="4817" width="10.28515625" bestFit="1" customWidth="1"/>
    <col min="4818" max="4819" width="9.28515625" bestFit="1" customWidth="1"/>
    <col min="4821" max="4821" width="10.28515625" bestFit="1" customWidth="1"/>
    <col min="4822" max="4823" width="9.28515625" bestFit="1" customWidth="1"/>
    <col min="4825" max="4825" width="10.28515625" bestFit="1" customWidth="1"/>
    <col min="4826" max="4827" width="9.28515625" bestFit="1" customWidth="1"/>
    <col min="4829" max="4829" width="10.28515625" bestFit="1" customWidth="1"/>
    <col min="4830" max="4831" width="9.28515625" bestFit="1" customWidth="1"/>
    <col min="4833" max="4833" width="10.28515625" bestFit="1" customWidth="1"/>
    <col min="4834" max="4835" width="9.28515625" bestFit="1" customWidth="1"/>
    <col min="4837" max="4837" width="10.28515625" bestFit="1" customWidth="1"/>
    <col min="4838" max="4839" width="9.28515625" bestFit="1" customWidth="1"/>
    <col min="4841" max="4841" width="10.28515625" bestFit="1" customWidth="1"/>
    <col min="4842" max="4843" width="9.28515625" bestFit="1" customWidth="1"/>
    <col min="4845" max="4845" width="10.28515625" bestFit="1" customWidth="1"/>
    <col min="4846" max="4847" width="9.28515625" bestFit="1" customWidth="1"/>
    <col min="4849" max="4849" width="10.28515625" bestFit="1" customWidth="1"/>
    <col min="4850" max="4851" width="9.28515625" bestFit="1" customWidth="1"/>
    <col min="4853" max="4853" width="10.28515625" bestFit="1" customWidth="1"/>
    <col min="4854" max="4855" width="9.28515625" bestFit="1" customWidth="1"/>
    <col min="4857" max="4857" width="10.28515625" bestFit="1" customWidth="1"/>
    <col min="4858" max="4859" width="9.28515625" bestFit="1" customWidth="1"/>
    <col min="4861" max="4861" width="10.28515625" bestFit="1" customWidth="1"/>
    <col min="4862" max="4863" width="9.28515625" bestFit="1" customWidth="1"/>
    <col min="4865" max="4865" width="10.28515625" bestFit="1" customWidth="1"/>
    <col min="4866" max="4867" width="9.28515625" bestFit="1" customWidth="1"/>
    <col min="4869" max="4869" width="10.28515625" bestFit="1" customWidth="1"/>
    <col min="4870" max="4871" width="9.28515625" bestFit="1" customWidth="1"/>
    <col min="4873" max="4873" width="10.28515625" bestFit="1" customWidth="1"/>
    <col min="4874" max="4875" width="9.28515625" bestFit="1" customWidth="1"/>
    <col min="4877" max="4877" width="10.28515625" bestFit="1" customWidth="1"/>
    <col min="4878" max="4879" width="9.28515625" bestFit="1" customWidth="1"/>
    <col min="4881" max="4881" width="10.28515625" bestFit="1" customWidth="1"/>
    <col min="4882" max="4883" width="9.28515625" bestFit="1" customWidth="1"/>
    <col min="4885" max="4885" width="10.28515625" bestFit="1" customWidth="1"/>
    <col min="4886" max="4887" width="9.28515625" bestFit="1" customWidth="1"/>
    <col min="4889" max="4889" width="10.28515625" bestFit="1" customWidth="1"/>
    <col min="4890" max="4891" width="9.28515625" bestFit="1" customWidth="1"/>
    <col min="4893" max="4893" width="10.28515625" bestFit="1" customWidth="1"/>
    <col min="4894" max="4895" width="9.28515625" bestFit="1" customWidth="1"/>
    <col min="4897" max="4897" width="10.28515625" bestFit="1" customWidth="1"/>
    <col min="4898" max="4899" width="9.28515625" bestFit="1" customWidth="1"/>
    <col min="4901" max="4901" width="10.28515625" bestFit="1" customWidth="1"/>
    <col min="4902" max="4903" width="9.28515625" bestFit="1" customWidth="1"/>
    <col min="4905" max="4905" width="10.28515625" bestFit="1" customWidth="1"/>
    <col min="4906" max="4907" width="9.28515625" bestFit="1" customWidth="1"/>
    <col min="4909" max="4909" width="10.28515625" bestFit="1" customWidth="1"/>
    <col min="4910" max="4911" width="9.28515625" bestFit="1" customWidth="1"/>
    <col min="4913" max="4913" width="10.28515625" bestFit="1" customWidth="1"/>
    <col min="4914" max="4915" width="9.28515625" bestFit="1" customWidth="1"/>
    <col min="4917" max="4917" width="10.28515625" bestFit="1" customWidth="1"/>
    <col min="4918" max="4919" width="9.28515625" bestFit="1" customWidth="1"/>
    <col min="4921" max="4921" width="10.28515625" bestFit="1" customWidth="1"/>
    <col min="4922" max="4923" width="9.28515625" bestFit="1" customWidth="1"/>
    <col min="4925" max="4925" width="10.28515625" bestFit="1" customWidth="1"/>
    <col min="4926" max="4927" width="9.28515625" bestFit="1" customWidth="1"/>
    <col min="4929" max="4929" width="10.28515625" bestFit="1" customWidth="1"/>
    <col min="4930" max="4931" width="9.28515625" bestFit="1" customWidth="1"/>
    <col min="4933" max="4933" width="10.28515625" bestFit="1" customWidth="1"/>
    <col min="4934" max="4935" width="9.28515625" bestFit="1" customWidth="1"/>
    <col min="4937" max="4937" width="10.28515625" bestFit="1" customWidth="1"/>
    <col min="4938" max="4939" width="9.28515625" bestFit="1" customWidth="1"/>
    <col min="4941" max="4941" width="10.28515625" bestFit="1" customWidth="1"/>
    <col min="4942" max="4943" width="9.28515625" bestFit="1" customWidth="1"/>
    <col min="4945" max="4945" width="10.28515625" bestFit="1" customWidth="1"/>
    <col min="4946" max="4947" width="9.28515625" bestFit="1" customWidth="1"/>
    <col min="4949" max="4949" width="10.28515625" bestFit="1" customWidth="1"/>
    <col min="4950" max="4951" width="9.28515625" bestFit="1" customWidth="1"/>
    <col min="4953" max="4953" width="10.28515625" bestFit="1" customWidth="1"/>
    <col min="4954" max="4955" width="9.28515625" bestFit="1" customWidth="1"/>
    <col min="4957" max="4957" width="10.28515625" bestFit="1" customWidth="1"/>
    <col min="4958" max="4959" width="9.28515625" bestFit="1" customWidth="1"/>
    <col min="4961" max="4961" width="10.28515625" bestFit="1" customWidth="1"/>
    <col min="4962" max="4963" width="9.28515625" bestFit="1" customWidth="1"/>
    <col min="4965" max="4965" width="10.28515625" bestFit="1" customWidth="1"/>
    <col min="4966" max="4967" width="9.28515625" bestFit="1" customWidth="1"/>
    <col min="4969" max="4969" width="10.28515625" bestFit="1" customWidth="1"/>
    <col min="4970" max="4971" width="9.28515625" bestFit="1" customWidth="1"/>
    <col min="4973" max="4973" width="10.28515625" bestFit="1" customWidth="1"/>
    <col min="4974" max="4975" width="9.28515625" bestFit="1" customWidth="1"/>
    <col min="4977" max="4977" width="10.28515625" bestFit="1" customWidth="1"/>
    <col min="4978" max="4979" width="9.28515625" bestFit="1" customWidth="1"/>
    <col min="4981" max="4981" width="10.28515625" bestFit="1" customWidth="1"/>
    <col min="4982" max="4983" width="9.28515625" bestFit="1" customWidth="1"/>
    <col min="4985" max="4985" width="10.28515625" bestFit="1" customWidth="1"/>
    <col min="4986" max="4987" width="9.28515625" bestFit="1" customWidth="1"/>
    <col min="4989" max="4989" width="10.28515625" bestFit="1" customWidth="1"/>
    <col min="4990" max="4991" width="9.28515625" bestFit="1" customWidth="1"/>
    <col min="4993" max="4993" width="10.28515625" bestFit="1" customWidth="1"/>
    <col min="4994" max="4995" width="9.28515625" bestFit="1" customWidth="1"/>
    <col min="4997" max="4997" width="10.28515625" bestFit="1" customWidth="1"/>
    <col min="4998" max="4999" width="9.28515625" bestFit="1" customWidth="1"/>
    <col min="5001" max="5001" width="10.28515625" bestFit="1" customWidth="1"/>
    <col min="5002" max="5003" width="9.28515625" bestFit="1" customWidth="1"/>
    <col min="5005" max="5005" width="10.28515625" bestFit="1" customWidth="1"/>
    <col min="5006" max="5007" width="9.28515625" bestFit="1" customWidth="1"/>
    <col min="5009" max="5009" width="10.28515625" bestFit="1" customWidth="1"/>
    <col min="5010" max="5011" width="9.28515625" bestFit="1" customWidth="1"/>
    <col min="5013" max="5013" width="10.28515625" bestFit="1" customWidth="1"/>
    <col min="5014" max="5015" width="9.28515625" bestFit="1" customWidth="1"/>
    <col min="5017" max="5017" width="10.28515625" bestFit="1" customWidth="1"/>
    <col min="5018" max="5019" width="9.28515625" bestFit="1" customWidth="1"/>
    <col min="5021" max="5021" width="10.28515625" bestFit="1" customWidth="1"/>
    <col min="5022" max="5023" width="9.28515625" bestFit="1" customWidth="1"/>
    <col min="5025" max="5025" width="10.28515625" bestFit="1" customWidth="1"/>
    <col min="5026" max="5027" width="9.28515625" bestFit="1" customWidth="1"/>
    <col min="5029" max="5029" width="10.28515625" bestFit="1" customWidth="1"/>
    <col min="5030" max="5031" width="9.28515625" bestFit="1" customWidth="1"/>
    <col min="5033" max="5033" width="10.28515625" bestFit="1" customWidth="1"/>
    <col min="5034" max="5035" width="9.28515625" bestFit="1" customWidth="1"/>
    <col min="5037" max="5037" width="10.28515625" bestFit="1" customWidth="1"/>
    <col min="5038" max="5039" width="9.28515625" bestFit="1" customWidth="1"/>
    <col min="5041" max="5041" width="10.28515625" bestFit="1" customWidth="1"/>
    <col min="5042" max="5043" width="9.28515625" bestFit="1" customWidth="1"/>
    <col min="5045" max="5045" width="10.28515625" bestFit="1" customWidth="1"/>
    <col min="5046" max="5047" width="9.28515625" bestFit="1" customWidth="1"/>
    <col min="5049" max="5049" width="10.28515625" bestFit="1" customWidth="1"/>
    <col min="5050" max="5051" width="9.28515625" bestFit="1" customWidth="1"/>
    <col min="5053" max="5053" width="10.28515625" bestFit="1" customWidth="1"/>
    <col min="5054" max="5055" width="9.28515625" bestFit="1" customWidth="1"/>
    <col min="5057" max="5057" width="10.28515625" bestFit="1" customWidth="1"/>
    <col min="5058" max="5059" width="9.28515625" bestFit="1" customWidth="1"/>
    <col min="5061" max="5061" width="10.28515625" bestFit="1" customWidth="1"/>
    <col min="5062" max="5063" width="9.28515625" bestFit="1" customWidth="1"/>
    <col min="5065" max="5065" width="10.28515625" bestFit="1" customWidth="1"/>
    <col min="5066" max="5067" width="9.28515625" bestFit="1" customWidth="1"/>
    <col min="5069" max="5069" width="10.28515625" bestFit="1" customWidth="1"/>
    <col min="5070" max="5071" width="9.28515625" bestFit="1" customWidth="1"/>
    <col min="5073" max="5073" width="10.28515625" bestFit="1" customWidth="1"/>
    <col min="5074" max="5075" width="9.28515625" bestFit="1" customWidth="1"/>
    <col min="5077" max="5077" width="10.28515625" bestFit="1" customWidth="1"/>
    <col min="5078" max="5079" width="9.28515625" bestFit="1" customWidth="1"/>
    <col min="5081" max="5081" width="10.28515625" bestFit="1" customWidth="1"/>
    <col min="5082" max="5083" width="9.28515625" bestFit="1" customWidth="1"/>
    <col min="5085" max="5085" width="10.28515625" bestFit="1" customWidth="1"/>
    <col min="5086" max="5087" width="9.28515625" bestFit="1" customWidth="1"/>
    <col min="5089" max="5089" width="10.28515625" bestFit="1" customWidth="1"/>
    <col min="5090" max="5091" width="9.28515625" bestFit="1" customWidth="1"/>
    <col min="5093" max="5093" width="10.28515625" bestFit="1" customWidth="1"/>
    <col min="5094" max="5095" width="9.28515625" bestFit="1" customWidth="1"/>
    <col min="5097" max="5097" width="10.28515625" bestFit="1" customWidth="1"/>
    <col min="5098" max="5099" width="9.28515625" bestFit="1" customWidth="1"/>
    <col min="5101" max="5101" width="10.28515625" bestFit="1" customWidth="1"/>
    <col min="5102" max="5103" width="9.28515625" bestFit="1" customWidth="1"/>
    <col min="5105" max="5105" width="10.28515625" bestFit="1" customWidth="1"/>
    <col min="5106" max="5107" width="9.28515625" bestFit="1" customWidth="1"/>
    <col min="5109" max="5109" width="10.28515625" bestFit="1" customWidth="1"/>
    <col min="5110" max="5111" width="9.28515625" bestFit="1" customWidth="1"/>
    <col min="5113" max="5113" width="10.28515625" bestFit="1" customWidth="1"/>
    <col min="5114" max="5115" width="9.28515625" bestFit="1" customWidth="1"/>
    <col min="5117" max="5117" width="10.28515625" bestFit="1" customWidth="1"/>
    <col min="5118" max="5119" width="9.28515625" bestFit="1" customWidth="1"/>
    <col min="5121" max="5121" width="10.28515625" bestFit="1" customWidth="1"/>
    <col min="5122" max="5123" width="9.28515625" bestFit="1" customWidth="1"/>
    <col min="5125" max="5125" width="10.28515625" bestFit="1" customWidth="1"/>
    <col min="5126" max="5127" width="9.28515625" bestFit="1" customWidth="1"/>
    <col min="5129" max="5129" width="10.28515625" bestFit="1" customWidth="1"/>
    <col min="5130" max="5131" width="9.28515625" bestFit="1" customWidth="1"/>
    <col min="5133" max="5133" width="10.28515625" bestFit="1" customWidth="1"/>
    <col min="5134" max="5135" width="9.28515625" bestFit="1" customWidth="1"/>
    <col min="5137" max="5137" width="10.28515625" bestFit="1" customWidth="1"/>
    <col min="5138" max="5139" width="9.28515625" bestFit="1" customWidth="1"/>
    <col min="5141" max="5141" width="10.28515625" bestFit="1" customWidth="1"/>
    <col min="5142" max="5143" width="9.28515625" bestFit="1" customWidth="1"/>
    <col min="5145" max="5145" width="10.28515625" bestFit="1" customWidth="1"/>
    <col min="5146" max="5147" width="9.28515625" bestFit="1" customWidth="1"/>
    <col min="5149" max="5149" width="10.28515625" bestFit="1" customWidth="1"/>
    <col min="5150" max="5151" width="9.28515625" bestFit="1" customWidth="1"/>
    <col min="5153" max="5153" width="10.28515625" bestFit="1" customWidth="1"/>
    <col min="5154" max="5155" width="9.28515625" bestFit="1" customWidth="1"/>
    <col min="5157" max="5157" width="10.28515625" bestFit="1" customWidth="1"/>
    <col min="5158" max="5159" width="9.28515625" bestFit="1" customWidth="1"/>
    <col min="5161" max="5161" width="10.28515625" bestFit="1" customWidth="1"/>
    <col min="5162" max="5163" width="9.28515625" bestFit="1" customWidth="1"/>
    <col min="5165" max="5165" width="10.28515625" bestFit="1" customWidth="1"/>
    <col min="5166" max="5167" width="9.28515625" bestFit="1" customWidth="1"/>
    <col min="5169" max="5169" width="10.28515625" bestFit="1" customWidth="1"/>
    <col min="5170" max="5171" width="9.28515625" bestFit="1" customWidth="1"/>
    <col min="5173" max="5173" width="10.28515625" bestFit="1" customWidth="1"/>
    <col min="5174" max="5175" width="9.28515625" bestFit="1" customWidth="1"/>
    <col min="5177" max="5177" width="10.28515625" bestFit="1" customWidth="1"/>
    <col min="5178" max="5179" width="9.28515625" bestFit="1" customWidth="1"/>
    <col min="5181" max="5181" width="10.28515625" bestFit="1" customWidth="1"/>
    <col min="5182" max="5183" width="9.28515625" bestFit="1" customWidth="1"/>
    <col min="5185" max="5185" width="10.28515625" bestFit="1" customWidth="1"/>
    <col min="5186" max="5187" width="9.28515625" bestFit="1" customWidth="1"/>
    <col min="5189" max="5189" width="10.28515625" bestFit="1" customWidth="1"/>
    <col min="5190" max="5191" width="9.28515625" bestFit="1" customWidth="1"/>
    <col min="5193" max="5193" width="10.28515625" bestFit="1" customWidth="1"/>
    <col min="5194" max="5195" width="9.28515625" bestFit="1" customWidth="1"/>
    <col min="5197" max="5197" width="10.28515625" bestFit="1" customWidth="1"/>
    <col min="5198" max="5199" width="9.28515625" bestFit="1" customWidth="1"/>
    <col min="5201" max="5201" width="10.28515625" bestFit="1" customWidth="1"/>
    <col min="5202" max="5203" width="9.28515625" bestFit="1" customWidth="1"/>
    <col min="5205" max="5205" width="10.28515625" bestFit="1" customWidth="1"/>
    <col min="5206" max="5207" width="9.28515625" bestFit="1" customWidth="1"/>
    <col min="5209" max="5209" width="10.28515625" bestFit="1" customWidth="1"/>
    <col min="5210" max="5211" width="9.28515625" bestFit="1" customWidth="1"/>
    <col min="5213" max="5213" width="10.28515625" bestFit="1" customWidth="1"/>
    <col min="5214" max="5215" width="9.28515625" bestFit="1" customWidth="1"/>
    <col min="5217" max="5217" width="10.28515625" bestFit="1" customWidth="1"/>
    <col min="5218" max="5219" width="9.28515625" bestFit="1" customWidth="1"/>
    <col min="5221" max="5221" width="10.28515625" bestFit="1" customWidth="1"/>
    <col min="5222" max="5223" width="9.28515625" bestFit="1" customWidth="1"/>
    <col min="5225" max="5225" width="10.28515625" bestFit="1" customWidth="1"/>
    <col min="5226" max="5227" width="9.28515625" bestFit="1" customWidth="1"/>
    <col min="5229" max="5229" width="10.28515625" bestFit="1" customWidth="1"/>
    <col min="5230" max="5231" width="9.28515625" bestFit="1" customWidth="1"/>
    <col min="5233" max="5233" width="10.28515625" bestFit="1" customWidth="1"/>
    <col min="5234" max="5235" width="9.28515625" bestFit="1" customWidth="1"/>
    <col min="5237" max="5237" width="10.28515625" bestFit="1" customWidth="1"/>
    <col min="5238" max="5239" width="9.28515625" bestFit="1" customWidth="1"/>
    <col min="5241" max="5241" width="10.28515625" bestFit="1" customWidth="1"/>
    <col min="5242" max="5243" width="9.28515625" bestFit="1" customWidth="1"/>
    <col min="5245" max="5245" width="10.28515625" bestFit="1" customWidth="1"/>
    <col min="5246" max="5247" width="9.28515625" bestFit="1" customWidth="1"/>
    <col min="5249" max="5249" width="10.28515625" bestFit="1" customWidth="1"/>
    <col min="5250" max="5251" width="9.28515625" bestFit="1" customWidth="1"/>
    <col min="5253" max="5253" width="10.28515625" bestFit="1" customWidth="1"/>
    <col min="5254" max="5255" width="9.28515625" bestFit="1" customWidth="1"/>
    <col min="5257" max="5257" width="10.28515625" bestFit="1" customWidth="1"/>
    <col min="5258" max="5259" width="9.28515625" bestFit="1" customWidth="1"/>
    <col min="5261" max="5261" width="10.28515625" bestFit="1" customWidth="1"/>
    <col min="5262" max="5263" width="9.28515625" bestFit="1" customWidth="1"/>
    <col min="5265" max="5265" width="10.28515625" bestFit="1" customWidth="1"/>
    <col min="5266" max="5267" width="9.28515625" bestFit="1" customWidth="1"/>
    <col min="5269" max="5269" width="10.28515625" bestFit="1" customWidth="1"/>
    <col min="5270" max="5271" width="9.28515625" bestFit="1" customWidth="1"/>
    <col min="5273" max="5273" width="10.28515625" bestFit="1" customWidth="1"/>
    <col min="5274" max="5275" width="9.28515625" bestFit="1" customWidth="1"/>
    <col min="5277" max="5277" width="10.28515625" bestFit="1" customWidth="1"/>
    <col min="5278" max="5279" width="9.28515625" bestFit="1" customWidth="1"/>
    <col min="5281" max="5281" width="10.28515625" bestFit="1" customWidth="1"/>
    <col min="5282" max="5283" width="9.28515625" bestFit="1" customWidth="1"/>
    <col min="5285" max="5285" width="10.28515625" bestFit="1" customWidth="1"/>
    <col min="5286" max="5287" width="9.28515625" bestFit="1" customWidth="1"/>
    <col min="5289" max="5289" width="10.28515625" bestFit="1" customWidth="1"/>
    <col min="5290" max="5291" width="9.28515625" bestFit="1" customWidth="1"/>
    <col min="5293" max="5293" width="10.28515625" bestFit="1" customWidth="1"/>
    <col min="5294" max="5295" width="9.28515625" bestFit="1" customWidth="1"/>
    <col min="5297" max="5297" width="10.28515625" bestFit="1" customWidth="1"/>
    <col min="5298" max="5299" width="9.28515625" bestFit="1" customWidth="1"/>
    <col min="5301" max="5301" width="10.28515625" bestFit="1" customWidth="1"/>
    <col min="5302" max="5303" width="9.28515625" bestFit="1" customWidth="1"/>
    <col min="5305" max="5305" width="10.28515625" bestFit="1" customWidth="1"/>
    <col min="5306" max="5307" width="9.28515625" bestFit="1" customWidth="1"/>
    <col min="5309" max="5309" width="10.28515625" bestFit="1" customWidth="1"/>
    <col min="5310" max="5311" width="9.28515625" bestFit="1" customWidth="1"/>
    <col min="5313" max="5313" width="10.28515625" bestFit="1" customWidth="1"/>
    <col min="5314" max="5315" width="9.28515625" bestFit="1" customWidth="1"/>
    <col min="5317" max="5317" width="10.28515625" bestFit="1" customWidth="1"/>
    <col min="5318" max="5319" width="9.28515625" bestFit="1" customWidth="1"/>
    <col min="5321" max="5321" width="10.28515625" bestFit="1" customWidth="1"/>
    <col min="5322" max="5323" width="9.28515625" bestFit="1" customWidth="1"/>
    <col min="5325" max="5325" width="10.28515625" bestFit="1" customWidth="1"/>
    <col min="5326" max="5327" width="9.28515625" bestFit="1" customWidth="1"/>
    <col min="5329" max="5329" width="10.28515625" bestFit="1" customWidth="1"/>
    <col min="5330" max="5331" width="9.28515625" bestFit="1" customWidth="1"/>
    <col min="5333" max="5333" width="10.28515625" bestFit="1" customWidth="1"/>
    <col min="5334" max="5335" width="9.28515625" bestFit="1" customWidth="1"/>
    <col min="5337" max="5337" width="10.28515625" bestFit="1" customWidth="1"/>
    <col min="5338" max="5339" width="9.28515625" bestFit="1" customWidth="1"/>
    <col min="5341" max="5341" width="10.28515625" bestFit="1" customWidth="1"/>
    <col min="5342" max="5343" width="9.28515625" bestFit="1" customWidth="1"/>
    <col min="5345" max="5345" width="10.28515625" bestFit="1" customWidth="1"/>
    <col min="5346" max="5347" width="9.28515625" bestFit="1" customWidth="1"/>
    <col min="5349" max="5349" width="10.28515625" bestFit="1" customWidth="1"/>
    <col min="5350" max="5351" width="9.28515625" bestFit="1" customWidth="1"/>
    <col min="5353" max="5353" width="10.28515625" bestFit="1" customWidth="1"/>
    <col min="5354" max="5355" width="9.28515625" bestFit="1" customWidth="1"/>
    <col min="5357" max="5357" width="10.28515625" bestFit="1" customWidth="1"/>
    <col min="5358" max="5359" width="9.28515625" bestFit="1" customWidth="1"/>
    <col min="5361" max="5361" width="10.28515625" bestFit="1" customWidth="1"/>
    <col min="5362" max="5363" width="9.28515625" bestFit="1" customWidth="1"/>
    <col min="5365" max="5365" width="10.28515625" bestFit="1" customWidth="1"/>
    <col min="5366" max="5367" width="9.28515625" bestFit="1" customWidth="1"/>
    <col min="5369" max="5369" width="10.28515625" bestFit="1" customWidth="1"/>
    <col min="5370" max="5371" width="9.28515625" bestFit="1" customWidth="1"/>
    <col min="5373" max="5373" width="10.28515625" bestFit="1" customWidth="1"/>
    <col min="5374" max="5375" width="9.28515625" bestFit="1" customWidth="1"/>
    <col min="5377" max="5377" width="10.28515625" bestFit="1" customWidth="1"/>
    <col min="5378" max="5379" width="9.28515625" bestFit="1" customWidth="1"/>
    <col min="5381" max="5381" width="10.28515625" bestFit="1" customWidth="1"/>
    <col min="5382" max="5383" width="9.28515625" bestFit="1" customWidth="1"/>
    <col min="5385" max="5385" width="10.28515625" bestFit="1" customWidth="1"/>
    <col min="5386" max="5387" width="9.28515625" bestFit="1" customWidth="1"/>
    <col min="5389" max="5389" width="10.28515625" bestFit="1" customWidth="1"/>
    <col min="5390" max="5391" width="9.28515625" bestFit="1" customWidth="1"/>
    <col min="5393" max="5393" width="10.28515625" bestFit="1" customWidth="1"/>
    <col min="5394" max="5395" width="9.28515625" bestFit="1" customWidth="1"/>
    <col min="5397" max="5397" width="10.28515625" bestFit="1" customWidth="1"/>
    <col min="5398" max="5399" width="9.28515625" bestFit="1" customWidth="1"/>
    <col min="5401" max="5401" width="10.28515625" bestFit="1" customWidth="1"/>
    <col min="5402" max="5403" width="9.28515625" bestFit="1" customWidth="1"/>
    <col min="5405" max="5405" width="10.28515625" bestFit="1" customWidth="1"/>
    <col min="5406" max="5407" width="9.28515625" bestFit="1" customWidth="1"/>
    <col min="5409" max="5409" width="10.28515625" bestFit="1" customWidth="1"/>
    <col min="5410" max="5411" width="9.28515625" bestFit="1" customWidth="1"/>
    <col min="5413" max="5413" width="10.28515625" bestFit="1" customWidth="1"/>
    <col min="5414" max="5415" width="9.28515625" bestFit="1" customWidth="1"/>
    <col min="5417" max="5417" width="10.28515625" bestFit="1" customWidth="1"/>
    <col min="5418" max="5419" width="9.28515625" bestFit="1" customWidth="1"/>
    <col min="5421" max="5421" width="10.28515625" bestFit="1" customWidth="1"/>
    <col min="5422" max="5423" width="9.28515625" bestFit="1" customWidth="1"/>
    <col min="5425" max="5425" width="10.28515625" bestFit="1" customWidth="1"/>
    <col min="5426" max="5427" width="9.28515625" bestFit="1" customWidth="1"/>
    <col min="5429" max="5429" width="10.28515625" bestFit="1" customWidth="1"/>
    <col min="5430" max="5431" width="9.28515625" bestFit="1" customWidth="1"/>
    <col min="5433" max="5433" width="10.28515625" bestFit="1" customWidth="1"/>
    <col min="5434" max="5435" width="9.28515625" bestFit="1" customWidth="1"/>
    <col min="5437" max="5437" width="10.28515625" bestFit="1" customWidth="1"/>
    <col min="5438" max="5439" width="9.28515625" bestFit="1" customWidth="1"/>
    <col min="5441" max="5441" width="10.28515625" bestFit="1" customWidth="1"/>
    <col min="5442" max="5443" width="9.28515625" bestFit="1" customWidth="1"/>
    <col min="5445" max="5445" width="10.28515625" bestFit="1" customWidth="1"/>
    <col min="5446" max="5447" width="9.28515625" bestFit="1" customWidth="1"/>
    <col min="5449" max="5449" width="10.28515625" bestFit="1" customWidth="1"/>
    <col min="5450" max="5451" width="9.28515625" bestFit="1" customWidth="1"/>
    <col min="5453" max="5453" width="10.28515625" bestFit="1" customWidth="1"/>
    <col min="5454" max="5455" width="9.28515625" bestFit="1" customWidth="1"/>
    <col min="5457" max="5457" width="10.28515625" bestFit="1" customWidth="1"/>
    <col min="5458" max="5459" width="9.28515625" bestFit="1" customWidth="1"/>
    <col min="5461" max="5461" width="10.28515625" bestFit="1" customWidth="1"/>
    <col min="5462" max="5463" width="9.28515625" bestFit="1" customWidth="1"/>
    <col min="5465" max="5465" width="10.28515625" bestFit="1" customWidth="1"/>
    <col min="5466" max="5467" width="9.28515625" bestFit="1" customWidth="1"/>
    <col min="5469" max="5469" width="10.28515625" bestFit="1" customWidth="1"/>
    <col min="5470" max="5471" width="9.28515625" bestFit="1" customWidth="1"/>
    <col min="5473" max="5473" width="10.28515625" bestFit="1" customWidth="1"/>
    <col min="5474" max="5475" width="9.28515625" bestFit="1" customWidth="1"/>
    <col min="5477" max="5477" width="10.28515625" bestFit="1" customWidth="1"/>
    <col min="5478" max="5479" width="9.28515625" bestFit="1" customWidth="1"/>
    <col min="5481" max="5481" width="10.28515625" bestFit="1" customWidth="1"/>
    <col min="5482" max="5483" width="9.28515625" bestFit="1" customWidth="1"/>
    <col min="5485" max="5485" width="10.28515625" bestFit="1" customWidth="1"/>
    <col min="5486" max="5487" width="9.28515625" bestFit="1" customWidth="1"/>
    <col min="5489" max="5489" width="10.28515625" bestFit="1" customWidth="1"/>
    <col min="5490" max="5491" width="9.28515625" bestFit="1" customWidth="1"/>
    <col min="5493" max="5493" width="10.28515625" bestFit="1" customWidth="1"/>
    <col min="5494" max="5495" width="9.28515625" bestFit="1" customWidth="1"/>
    <col min="5497" max="5497" width="10.28515625" bestFit="1" customWidth="1"/>
    <col min="5498" max="5499" width="9.28515625" bestFit="1" customWidth="1"/>
    <col min="5501" max="5501" width="10.28515625" bestFit="1" customWidth="1"/>
    <col min="5502" max="5503" width="9.28515625" bestFit="1" customWidth="1"/>
    <col min="5505" max="5505" width="10.28515625" bestFit="1" customWidth="1"/>
    <col min="5506" max="5507" width="9.28515625" bestFit="1" customWidth="1"/>
    <col min="5509" max="5509" width="10.28515625" bestFit="1" customWidth="1"/>
    <col min="5510" max="5511" width="9.28515625" bestFit="1" customWidth="1"/>
    <col min="5513" max="5513" width="10.28515625" bestFit="1" customWidth="1"/>
    <col min="5514" max="5515" width="9.28515625" bestFit="1" customWidth="1"/>
    <col min="5517" max="5517" width="10.28515625" bestFit="1" customWidth="1"/>
    <col min="5518" max="5519" width="9.28515625" bestFit="1" customWidth="1"/>
    <col min="5521" max="5521" width="10.28515625" bestFit="1" customWidth="1"/>
    <col min="5522" max="5523" width="9.28515625" bestFit="1" customWidth="1"/>
    <col min="5525" max="5525" width="10.28515625" bestFit="1" customWidth="1"/>
    <col min="5526" max="5527" width="9.28515625" bestFit="1" customWidth="1"/>
    <col min="5529" max="5529" width="10.28515625" bestFit="1" customWidth="1"/>
    <col min="5530" max="5531" width="9.28515625" bestFit="1" customWidth="1"/>
    <col min="5533" max="5533" width="10.28515625" bestFit="1" customWidth="1"/>
    <col min="5534" max="5535" width="9.28515625" bestFit="1" customWidth="1"/>
    <col min="5537" max="5537" width="10.28515625" bestFit="1" customWidth="1"/>
    <col min="5538" max="5539" width="9.28515625" bestFit="1" customWidth="1"/>
    <col min="5541" max="5541" width="10.28515625" bestFit="1" customWidth="1"/>
    <col min="5542" max="5543" width="9.28515625" bestFit="1" customWidth="1"/>
    <col min="5545" max="5545" width="10.28515625" bestFit="1" customWidth="1"/>
    <col min="5546" max="5547" width="9.28515625" bestFit="1" customWidth="1"/>
    <col min="5549" max="5549" width="10.28515625" bestFit="1" customWidth="1"/>
    <col min="5550" max="5551" width="9.28515625" bestFit="1" customWidth="1"/>
    <col min="5553" max="5553" width="10.28515625" bestFit="1" customWidth="1"/>
    <col min="5554" max="5555" width="9.28515625" bestFit="1" customWidth="1"/>
    <col min="5557" max="5557" width="10.28515625" bestFit="1" customWidth="1"/>
    <col min="5558" max="5559" width="9.28515625" bestFit="1" customWidth="1"/>
    <col min="5561" max="5561" width="10.28515625" bestFit="1" customWidth="1"/>
    <col min="5562" max="5563" width="9.28515625" bestFit="1" customWidth="1"/>
    <col min="5565" max="5565" width="10.28515625" bestFit="1" customWidth="1"/>
    <col min="5566" max="5567" width="9.28515625" bestFit="1" customWidth="1"/>
    <col min="5569" max="5569" width="10.28515625" bestFit="1" customWidth="1"/>
    <col min="5570" max="5571" width="9.28515625" bestFit="1" customWidth="1"/>
    <col min="5573" max="5573" width="10.28515625" bestFit="1" customWidth="1"/>
    <col min="5574" max="5575" width="9.28515625" bestFit="1" customWidth="1"/>
    <col min="5577" max="5577" width="10.28515625" bestFit="1" customWidth="1"/>
    <col min="5578" max="5579" width="9.28515625" bestFit="1" customWidth="1"/>
    <col min="5581" max="5581" width="10.28515625" bestFit="1" customWidth="1"/>
    <col min="5582" max="5583" width="9.28515625" bestFit="1" customWidth="1"/>
    <col min="5585" max="5585" width="10.28515625" bestFit="1" customWidth="1"/>
    <col min="5586" max="5587" width="9.28515625" bestFit="1" customWidth="1"/>
    <col min="5589" max="5589" width="10.28515625" bestFit="1" customWidth="1"/>
    <col min="5590" max="5591" width="9.28515625" bestFit="1" customWidth="1"/>
    <col min="5593" max="5593" width="10.28515625" bestFit="1" customWidth="1"/>
    <col min="5594" max="5595" width="9.28515625" bestFit="1" customWidth="1"/>
    <col min="5597" max="5597" width="10.28515625" bestFit="1" customWidth="1"/>
    <col min="5598" max="5599" width="9.28515625" bestFit="1" customWidth="1"/>
    <col min="5601" max="5601" width="10.28515625" bestFit="1" customWidth="1"/>
    <col min="5602" max="5603" width="9.28515625" bestFit="1" customWidth="1"/>
    <col min="5605" max="5605" width="10.28515625" bestFit="1" customWidth="1"/>
    <col min="5606" max="5607" width="9.28515625" bestFit="1" customWidth="1"/>
    <col min="5609" max="5609" width="10.28515625" bestFit="1" customWidth="1"/>
    <col min="5610" max="5611" width="9.28515625" bestFit="1" customWidth="1"/>
    <col min="5613" max="5613" width="10.28515625" bestFit="1" customWidth="1"/>
    <col min="5614" max="5615" width="9.28515625" bestFit="1" customWidth="1"/>
    <col min="5617" max="5617" width="10.28515625" bestFit="1" customWidth="1"/>
    <col min="5618" max="5619" width="9.28515625" bestFit="1" customWidth="1"/>
    <col min="5621" max="5621" width="10.28515625" bestFit="1" customWidth="1"/>
    <col min="5622" max="5623" width="9.28515625" bestFit="1" customWidth="1"/>
    <col min="5625" max="5625" width="10.28515625" bestFit="1" customWidth="1"/>
    <col min="5626" max="5627" width="9.28515625" bestFit="1" customWidth="1"/>
    <col min="5629" max="5629" width="10.28515625" bestFit="1" customWidth="1"/>
    <col min="5630" max="5631" width="9.28515625" bestFit="1" customWidth="1"/>
    <col min="5633" max="5633" width="10.28515625" bestFit="1" customWidth="1"/>
    <col min="5634" max="5635" width="9.28515625" bestFit="1" customWidth="1"/>
    <col min="5637" max="5637" width="10.28515625" bestFit="1" customWidth="1"/>
    <col min="5638" max="5639" width="9.28515625" bestFit="1" customWidth="1"/>
    <col min="5641" max="5641" width="10.28515625" bestFit="1" customWidth="1"/>
    <col min="5642" max="5643" width="9.28515625" bestFit="1" customWidth="1"/>
    <col min="5645" max="5645" width="10.28515625" bestFit="1" customWidth="1"/>
    <col min="5646" max="5647" width="9.28515625" bestFit="1" customWidth="1"/>
    <col min="5649" max="5649" width="10.28515625" bestFit="1" customWidth="1"/>
    <col min="5650" max="5651" width="9.28515625" bestFit="1" customWidth="1"/>
    <col min="5653" max="5653" width="10.28515625" bestFit="1" customWidth="1"/>
    <col min="5654" max="5655" width="9.28515625" bestFit="1" customWidth="1"/>
    <col min="5657" max="5657" width="10.28515625" bestFit="1" customWidth="1"/>
    <col min="5658" max="5659" width="9.28515625" bestFit="1" customWidth="1"/>
    <col min="5661" max="5661" width="10.28515625" bestFit="1" customWidth="1"/>
    <col min="5662" max="5663" width="9.28515625" bestFit="1" customWidth="1"/>
    <col min="5665" max="5665" width="10.28515625" bestFit="1" customWidth="1"/>
    <col min="5666" max="5667" width="9.28515625" bestFit="1" customWidth="1"/>
    <col min="5669" max="5669" width="10.28515625" bestFit="1" customWidth="1"/>
    <col min="5670" max="5671" width="9.28515625" bestFit="1" customWidth="1"/>
    <col min="5673" max="5673" width="10.28515625" bestFit="1" customWidth="1"/>
    <col min="5674" max="5675" width="9.28515625" bestFit="1" customWidth="1"/>
    <col min="5677" max="5677" width="10.28515625" bestFit="1" customWidth="1"/>
    <col min="5678" max="5679" width="9.28515625" bestFit="1" customWidth="1"/>
    <col min="5681" max="5681" width="10.28515625" bestFit="1" customWidth="1"/>
    <col min="5682" max="5683" width="9.28515625" bestFit="1" customWidth="1"/>
    <col min="5685" max="5685" width="10.28515625" bestFit="1" customWidth="1"/>
    <col min="5686" max="5687" width="9.28515625" bestFit="1" customWidth="1"/>
    <col min="5689" max="5689" width="10.28515625" bestFit="1" customWidth="1"/>
    <col min="5690" max="5691" width="9.28515625" bestFit="1" customWidth="1"/>
    <col min="5693" max="5693" width="10.28515625" bestFit="1" customWidth="1"/>
    <col min="5694" max="5695" width="9.28515625" bestFit="1" customWidth="1"/>
    <col min="5697" max="5697" width="10.28515625" bestFit="1" customWidth="1"/>
    <col min="5698" max="5699" width="9.28515625" bestFit="1" customWidth="1"/>
    <col min="5701" max="5701" width="10.28515625" bestFit="1" customWidth="1"/>
    <col min="5702" max="5703" width="9.28515625" bestFit="1" customWidth="1"/>
    <col min="5705" max="5705" width="10.28515625" bestFit="1" customWidth="1"/>
    <col min="5706" max="5707" width="9.28515625" bestFit="1" customWidth="1"/>
    <col min="5709" max="5709" width="10.28515625" bestFit="1" customWidth="1"/>
    <col min="5710" max="5711" width="9.28515625" bestFit="1" customWidth="1"/>
    <col min="5713" max="5713" width="10.28515625" bestFit="1" customWidth="1"/>
    <col min="5714" max="5715" width="9.28515625" bestFit="1" customWidth="1"/>
    <col min="5717" max="5717" width="10.28515625" bestFit="1" customWidth="1"/>
    <col min="5718" max="5719" width="9.28515625" bestFit="1" customWidth="1"/>
    <col min="5721" max="5721" width="10.28515625" bestFit="1" customWidth="1"/>
    <col min="5722" max="5723" width="9.28515625" bestFit="1" customWidth="1"/>
    <col min="5725" max="5725" width="10.28515625" bestFit="1" customWidth="1"/>
    <col min="5726" max="5727" width="9.28515625" bestFit="1" customWidth="1"/>
    <col min="5729" max="5729" width="10.28515625" bestFit="1" customWidth="1"/>
    <col min="5730" max="5731" width="9.28515625" bestFit="1" customWidth="1"/>
    <col min="5733" max="5733" width="10.28515625" bestFit="1" customWidth="1"/>
    <col min="5734" max="5735" width="9.28515625" bestFit="1" customWidth="1"/>
    <col min="5737" max="5737" width="10.28515625" bestFit="1" customWidth="1"/>
    <col min="5738" max="5739" width="9.28515625" bestFit="1" customWidth="1"/>
    <col min="5741" max="5741" width="10.28515625" bestFit="1" customWidth="1"/>
    <col min="5742" max="5743" width="9.28515625" bestFit="1" customWidth="1"/>
    <col min="5745" max="5745" width="10.28515625" bestFit="1" customWidth="1"/>
    <col min="5746" max="5747" width="9.28515625" bestFit="1" customWidth="1"/>
    <col min="5749" max="5749" width="10.28515625" bestFit="1" customWidth="1"/>
    <col min="5750" max="5751" width="9.28515625" bestFit="1" customWidth="1"/>
    <col min="5753" max="5753" width="10.28515625" bestFit="1" customWidth="1"/>
    <col min="5754" max="5755" width="9.28515625" bestFit="1" customWidth="1"/>
    <col min="5757" max="5757" width="10.28515625" bestFit="1" customWidth="1"/>
    <col min="5758" max="5759" width="9.28515625" bestFit="1" customWidth="1"/>
    <col min="5761" max="5761" width="10.28515625" bestFit="1" customWidth="1"/>
    <col min="5762" max="5763" width="9.28515625" bestFit="1" customWidth="1"/>
    <col min="5765" max="5765" width="10.28515625" bestFit="1" customWidth="1"/>
    <col min="5766" max="5767" width="9.28515625" bestFit="1" customWidth="1"/>
    <col min="5769" max="5769" width="10.28515625" bestFit="1" customWidth="1"/>
    <col min="5770" max="5771" width="9.28515625" bestFit="1" customWidth="1"/>
    <col min="5773" max="5773" width="10.28515625" bestFit="1" customWidth="1"/>
    <col min="5774" max="5775" width="9.28515625" bestFit="1" customWidth="1"/>
    <col min="5777" max="5777" width="10.28515625" bestFit="1" customWidth="1"/>
    <col min="5778" max="5779" width="9.28515625" bestFit="1" customWidth="1"/>
    <col min="5781" max="5781" width="10.28515625" bestFit="1" customWidth="1"/>
    <col min="5782" max="5783" width="9.28515625" bestFit="1" customWidth="1"/>
    <col min="5785" max="5785" width="10.28515625" bestFit="1" customWidth="1"/>
    <col min="5786" max="5787" width="9.28515625" bestFit="1" customWidth="1"/>
    <col min="5789" max="5789" width="10.28515625" bestFit="1" customWidth="1"/>
    <col min="5790" max="5791" width="9.28515625" bestFit="1" customWidth="1"/>
    <col min="5793" max="5793" width="10.28515625" bestFit="1" customWidth="1"/>
    <col min="5794" max="5795" width="9.28515625" bestFit="1" customWidth="1"/>
    <col min="5797" max="5797" width="10.28515625" bestFit="1" customWidth="1"/>
    <col min="5798" max="5799" width="9.28515625" bestFit="1" customWidth="1"/>
    <col min="5801" max="5801" width="10.28515625" bestFit="1" customWidth="1"/>
    <col min="5802" max="5803" width="9.28515625" bestFit="1" customWidth="1"/>
    <col min="5805" max="5805" width="10.28515625" bestFit="1" customWidth="1"/>
    <col min="5806" max="5807" width="9.28515625" bestFit="1" customWidth="1"/>
    <col min="5809" max="5809" width="10.28515625" bestFit="1" customWidth="1"/>
    <col min="5810" max="5811" width="9.28515625" bestFit="1" customWidth="1"/>
    <col min="5813" max="5813" width="10.28515625" bestFit="1" customWidth="1"/>
    <col min="5814" max="5815" width="9.28515625" bestFit="1" customWidth="1"/>
    <col min="5817" max="5817" width="10.28515625" bestFit="1" customWidth="1"/>
    <col min="5818" max="5819" width="9.28515625" bestFit="1" customWidth="1"/>
    <col min="5821" max="5821" width="10.28515625" bestFit="1" customWidth="1"/>
    <col min="5822" max="5823" width="9.28515625" bestFit="1" customWidth="1"/>
    <col min="5825" max="5825" width="10.28515625" bestFit="1" customWidth="1"/>
    <col min="5826" max="5827" width="9.28515625" bestFit="1" customWidth="1"/>
    <col min="5829" max="5829" width="10.28515625" bestFit="1" customWidth="1"/>
    <col min="5830" max="5831" width="9.28515625" bestFit="1" customWidth="1"/>
    <col min="5833" max="5833" width="10.28515625" bestFit="1" customWidth="1"/>
    <col min="5834" max="5835" width="9.28515625" bestFit="1" customWidth="1"/>
    <col min="5837" max="5837" width="10.28515625" bestFit="1" customWidth="1"/>
    <col min="5838" max="5839" width="9.28515625" bestFit="1" customWidth="1"/>
    <col min="5841" max="5841" width="10.28515625" bestFit="1" customWidth="1"/>
    <col min="5842" max="5843" width="9.28515625" bestFit="1" customWidth="1"/>
    <col min="5845" max="5845" width="10.28515625" bestFit="1" customWidth="1"/>
    <col min="5846" max="5847" width="9.28515625" bestFit="1" customWidth="1"/>
    <col min="5849" max="5849" width="10.28515625" bestFit="1" customWidth="1"/>
    <col min="5850" max="5851" width="9.28515625" bestFit="1" customWidth="1"/>
    <col min="5853" max="5853" width="10.28515625" bestFit="1" customWidth="1"/>
    <col min="5854" max="5855" width="9.28515625" bestFit="1" customWidth="1"/>
    <col min="5857" max="5857" width="10.28515625" bestFit="1" customWidth="1"/>
    <col min="5858" max="5859" width="9.28515625" bestFit="1" customWidth="1"/>
    <col min="5861" max="5861" width="10.28515625" bestFit="1" customWidth="1"/>
    <col min="5862" max="5863" width="9.28515625" bestFit="1" customWidth="1"/>
    <col min="5865" max="5865" width="10.28515625" bestFit="1" customWidth="1"/>
    <col min="5866" max="5867" width="9.28515625" bestFit="1" customWidth="1"/>
    <col min="5869" max="5869" width="10.28515625" bestFit="1" customWidth="1"/>
    <col min="5870" max="5871" width="9.28515625" bestFit="1" customWidth="1"/>
    <col min="5873" max="5873" width="10.28515625" bestFit="1" customWidth="1"/>
    <col min="5874" max="5875" width="9.28515625" bestFit="1" customWidth="1"/>
    <col min="5877" max="5877" width="10.28515625" bestFit="1" customWidth="1"/>
    <col min="5878" max="5879" width="9.28515625" bestFit="1" customWidth="1"/>
    <col min="5881" max="5881" width="10.28515625" bestFit="1" customWidth="1"/>
    <col min="5882" max="5883" width="9.28515625" bestFit="1" customWidth="1"/>
    <col min="5885" max="5885" width="10.28515625" bestFit="1" customWidth="1"/>
    <col min="5886" max="5887" width="9.28515625" bestFit="1" customWidth="1"/>
    <col min="5889" max="5889" width="10.28515625" bestFit="1" customWidth="1"/>
    <col min="5890" max="5891" width="9.28515625" bestFit="1" customWidth="1"/>
    <col min="5893" max="5893" width="10.28515625" bestFit="1" customWidth="1"/>
    <col min="5894" max="5895" width="9.28515625" bestFit="1" customWidth="1"/>
    <col min="5897" max="5897" width="10.28515625" bestFit="1" customWidth="1"/>
    <col min="5898" max="5899" width="9.28515625" bestFit="1" customWidth="1"/>
    <col min="5901" max="5901" width="10.28515625" bestFit="1" customWidth="1"/>
    <col min="5902" max="5903" width="9.28515625" bestFit="1" customWidth="1"/>
    <col min="5905" max="5905" width="10.28515625" bestFit="1" customWidth="1"/>
    <col min="5906" max="5907" width="9.28515625" bestFit="1" customWidth="1"/>
    <col min="5909" max="5909" width="10.28515625" bestFit="1" customWidth="1"/>
    <col min="5910" max="5911" width="9.28515625" bestFit="1" customWidth="1"/>
    <col min="5913" max="5913" width="10.28515625" bestFit="1" customWidth="1"/>
    <col min="5914" max="5915" width="9.28515625" bestFit="1" customWidth="1"/>
    <col min="5917" max="5917" width="10.28515625" bestFit="1" customWidth="1"/>
    <col min="5918" max="5919" width="9.28515625" bestFit="1" customWidth="1"/>
    <col min="5921" max="5921" width="10.28515625" bestFit="1" customWidth="1"/>
    <col min="5922" max="5923" width="9.28515625" bestFit="1" customWidth="1"/>
    <col min="5925" max="5925" width="10.28515625" bestFit="1" customWidth="1"/>
    <col min="5926" max="5927" width="9.28515625" bestFit="1" customWidth="1"/>
    <col min="5929" max="5929" width="10.28515625" bestFit="1" customWidth="1"/>
    <col min="5930" max="5931" width="9.28515625" bestFit="1" customWidth="1"/>
    <col min="5933" max="5933" width="10.28515625" bestFit="1" customWidth="1"/>
    <col min="5934" max="5935" width="9.28515625" bestFit="1" customWidth="1"/>
    <col min="5937" max="5937" width="10.28515625" bestFit="1" customWidth="1"/>
    <col min="5938" max="5939" width="9.28515625" bestFit="1" customWidth="1"/>
    <col min="5941" max="5941" width="10.28515625" bestFit="1" customWidth="1"/>
    <col min="5942" max="5943" width="9.28515625" bestFit="1" customWidth="1"/>
    <col min="5945" max="5945" width="10.28515625" bestFit="1" customWidth="1"/>
    <col min="5946" max="5947" width="9.28515625" bestFit="1" customWidth="1"/>
    <col min="5949" max="5949" width="10.28515625" bestFit="1" customWidth="1"/>
    <col min="5950" max="5951" width="9.28515625" bestFit="1" customWidth="1"/>
    <col min="5953" max="5953" width="10.28515625" bestFit="1" customWidth="1"/>
    <col min="5954" max="5955" width="9.28515625" bestFit="1" customWidth="1"/>
    <col min="5957" max="5957" width="10.28515625" bestFit="1" customWidth="1"/>
    <col min="5958" max="5959" width="9.28515625" bestFit="1" customWidth="1"/>
    <col min="5961" max="5961" width="10.28515625" bestFit="1" customWidth="1"/>
    <col min="5962" max="5963" width="9.28515625" bestFit="1" customWidth="1"/>
    <col min="5965" max="5965" width="10.28515625" bestFit="1" customWidth="1"/>
    <col min="5966" max="5967" width="9.28515625" bestFit="1" customWidth="1"/>
    <col min="5969" max="5969" width="10.28515625" bestFit="1" customWidth="1"/>
    <col min="5970" max="5971" width="9.28515625" bestFit="1" customWidth="1"/>
    <col min="5973" max="5973" width="10.28515625" bestFit="1" customWidth="1"/>
    <col min="5974" max="5975" width="9.28515625" bestFit="1" customWidth="1"/>
    <col min="5977" max="5977" width="10.28515625" bestFit="1" customWidth="1"/>
    <col min="5978" max="5979" width="9.28515625" bestFit="1" customWidth="1"/>
    <col min="5981" max="5981" width="10.28515625" bestFit="1" customWidth="1"/>
    <col min="5982" max="5983" width="9.28515625" bestFit="1" customWidth="1"/>
    <col min="5985" max="5985" width="10.28515625" bestFit="1" customWidth="1"/>
    <col min="5986" max="5987" width="9.28515625" bestFit="1" customWidth="1"/>
    <col min="5989" max="5989" width="10.28515625" bestFit="1" customWidth="1"/>
    <col min="5990" max="5991" width="9.28515625" bestFit="1" customWidth="1"/>
    <col min="5993" max="5993" width="10.28515625" bestFit="1" customWidth="1"/>
    <col min="5994" max="5995" width="9.28515625" bestFit="1" customWidth="1"/>
    <col min="5997" max="5997" width="10.28515625" bestFit="1" customWidth="1"/>
    <col min="5998" max="5999" width="9.28515625" bestFit="1" customWidth="1"/>
    <col min="6001" max="6001" width="10.28515625" bestFit="1" customWidth="1"/>
    <col min="6002" max="6003" width="9.28515625" bestFit="1" customWidth="1"/>
    <col min="6005" max="6005" width="10.28515625" bestFit="1" customWidth="1"/>
    <col min="6006" max="6007" width="9.28515625" bestFit="1" customWidth="1"/>
    <col min="6009" max="6009" width="10.28515625" bestFit="1" customWidth="1"/>
    <col min="6010" max="6011" width="9.28515625" bestFit="1" customWidth="1"/>
    <col min="6013" max="6013" width="10.28515625" bestFit="1" customWidth="1"/>
    <col min="6014" max="6015" width="9.28515625" bestFit="1" customWidth="1"/>
    <col min="6017" max="6017" width="10.28515625" bestFit="1" customWidth="1"/>
    <col min="6018" max="6019" width="9.28515625" bestFit="1" customWidth="1"/>
    <col min="6021" max="6021" width="10.28515625" bestFit="1" customWidth="1"/>
    <col min="6022" max="6023" width="9.28515625" bestFit="1" customWidth="1"/>
    <col min="6025" max="6025" width="10.28515625" bestFit="1" customWidth="1"/>
    <col min="6026" max="6027" width="9.28515625" bestFit="1" customWidth="1"/>
    <col min="6029" max="6029" width="10.28515625" bestFit="1" customWidth="1"/>
    <col min="6030" max="6031" width="9.28515625" bestFit="1" customWidth="1"/>
    <col min="6033" max="6033" width="10.28515625" bestFit="1" customWidth="1"/>
    <col min="6034" max="6035" width="9.28515625" bestFit="1" customWidth="1"/>
    <col min="6037" max="6037" width="10.28515625" bestFit="1" customWidth="1"/>
    <col min="6038" max="6039" width="9.28515625" bestFit="1" customWidth="1"/>
    <col min="6041" max="6041" width="10.28515625" bestFit="1" customWidth="1"/>
    <col min="6042" max="6043" width="9.28515625" bestFit="1" customWidth="1"/>
    <col min="6045" max="6045" width="10.28515625" bestFit="1" customWidth="1"/>
    <col min="6046" max="6047" width="9.28515625" bestFit="1" customWidth="1"/>
    <col min="6049" max="6049" width="10.28515625" bestFit="1" customWidth="1"/>
    <col min="6050" max="6051" width="9.28515625" bestFit="1" customWidth="1"/>
    <col min="6053" max="6053" width="10.28515625" bestFit="1" customWidth="1"/>
    <col min="6054" max="6055" width="9.28515625" bestFit="1" customWidth="1"/>
    <col min="6057" max="6057" width="10.28515625" bestFit="1" customWidth="1"/>
    <col min="6058" max="6059" width="9.28515625" bestFit="1" customWidth="1"/>
    <col min="6061" max="6061" width="10.28515625" bestFit="1" customWidth="1"/>
    <col min="6062" max="6063" width="9.28515625" bestFit="1" customWidth="1"/>
    <col min="6065" max="6065" width="10.28515625" bestFit="1" customWidth="1"/>
    <col min="6066" max="6067" width="9.28515625" bestFit="1" customWidth="1"/>
    <col min="6069" max="6069" width="10.28515625" bestFit="1" customWidth="1"/>
    <col min="6070" max="6071" width="9.28515625" bestFit="1" customWidth="1"/>
    <col min="6073" max="6073" width="10.28515625" bestFit="1" customWidth="1"/>
    <col min="6074" max="6075" width="9.28515625" bestFit="1" customWidth="1"/>
    <col min="6077" max="6077" width="10.28515625" bestFit="1" customWidth="1"/>
    <col min="6078" max="6079" width="9.28515625" bestFit="1" customWidth="1"/>
    <col min="6081" max="6081" width="10.28515625" bestFit="1" customWidth="1"/>
    <col min="6082" max="6083" width="9.28515625" bestFit="1" customWidth="1"/>
    <col min="6085" max="6085" width="10.28515625" bestFit="1" customWidth="1"/>
    <col min="6086" max="6087" width="9.28515625" bestFit="1" customWidth="1"/>
    <col min="6089" max="6089" width="10.28515625" bestFit="1" customWidth="1"/>
    <col min="6090" max="6091" width="9.28515625" bestFit="1" customWidth="1"/>
    <col min="6093" max="6093" width="10.28515625" bestFit="1" customWidth="1"/>
    <col min="6094" max="6095" width="9.28515625" bestFit="1" customWidth="1"/>
    <col min="6097" max="6097" width="10.28515625" bestFit="1" customWidth="1"/>
    <col min="6098" max="6099" width="9.28515625" bestFit="1" customWidth="1"/>
    <col min="6101" max="6101" width="10.28515625" bestFit="1" customWidth="1"/>
    <col min="6102" max="6103" width="9.28515625" bestFit="1" customWidth="1"/>
    <col min="6105" max="6105" width="10.28515625" bestFit="1" customWidth="1"/>
    <col min="6106" max="6107" width="9.28515625" bestFit="1" customWidth="1"/>
    <col min="6109" max="6109" width="10.28515625" bestFit="1" customWidth="1"/>
    <col min="6110" max="6111" width="9.28515625" bestFit="1" customWidth="1"/>
    <col min="6113" max="6113" width="10.28515625" bestFit="1" customWidth="1"/>
    <col min="6114" max="6115" width="9.28515625" bestFit="1" customWidth="1"/>
    <col min="6117" max="6117" width="10.28515625" bestFit="1" customWidth="1"/>
    <col min="6118" max="6119" width="9.28515625" bestFit="1" customWidth="1"/>
    <col min="6121" max="6121" width="10.28515625" bestFit="1" customWidth="1"/>
    <col min="6122" max="6123" width="9.28515625" bestFit="1" customWidth="1"/>
    <col min="6125" max="6125" width="10.28515625" bestFit="1" customWidth="1"/>
    <col min="6126" max="6127" width="9.28515625" bestFit="1" customWidth="1"/>
    <col min="6129" max="6129" width="10.28515625" bestFit="1" customWidth="1"/>
    <col min="6130" max="6131" width="9.28515625" bestFit="1" customWidth="1"/>
    <col min="6133" max="6133" width="10.28515625" bestFit="1" customWidth="1"/>
    <col min="6134" max="6135" width="9.28515625" bestFit="1" customWidth="1"/>
    <col min="6137" max="6137" width="10.28515625" bestFit="1" customWidth="1"/>
    <col min="6138" max="6139" width="9.28515625" bestFit="1" customWidth="1"/>
    <col min="6141" max="6141" width="10.28515625" bestFit="1" customWidth="1"/>
    <col min="6142" max="6143" width="9.28515625" bestFit="1" customWidth="1"/>
    <col min="6145" max="6145" width="10.28515625" bestFit="1" customWidth="1"/>
    <col min="6146" max="6147" width="9.28515625" bestFit="1" customWidth="1"/>
    <col min="6149" max="6149" width="10.28515625" bestFit="1" customWidth="1"/>
    <col min="6150" max="6151" width="9.28515625" bestFit="1" customWidth="1"/>
    <col min="6153" max="6153" width="10.28515625" bestFit="1" customWidth="1"/>
    <col min="6154" max="6155" width="9.28515625" bestFit="1" customWidth="1"/>
    <col min="6157" max="6157" width="10.28515625" bestFit="1" customWidth="1"/>
    <col min="6158" max="6159" width="9.28515625" bestFit="1" customWidth="1"/>
    <col min="6161" max="6161" width="10.28515625" bestFit="1" customWidth="1"/>
    <col min="6162" max="6163" width="9.28515625" bestFit="1" customWidth="1"/>
    <col min="6165" max="6165" width="10.28515625" bestFit="1" customWidth="1"/>
    <col min="6166" max="6167" width="9.28515625" bestFit="1" customWidth="1"/>
    <col min="6169" max="6169" width="10.28515625" bestFit="1" customWidth="1"/>
    <col min="6170" max="6171" width="9.28515625" bestFit="1" customWidth="1"/>
    <col min="6173" max="6173" width="10.28515625" bestFit="1" customWidth="1"/>
    <col min="6174" max="6175" width="9.28515625" bestFit="1" customWidth="1"/>
    <col min="6177" max="6177" width="10.28515625" bestFit="1" customWidth="1"/>
    <col min="6178" max="6179" width="9.28515625" bestFit="1" customWidth="1"/>
    <col min="6181" max="6181" width="10.28515625" bestFit="1" customWidth="1"/>
    <col min="6182" max="6183" width="9.28515625" bestFit="1" customWidth="1"/>
    <col min="6185" max="6185" width="10.28515625" bestFit="1" customWidth="1"/>
    <col min="6186" max="6187" width="9.28515625" bestFit="1" customWidth="1"/>
    <col min="6189" max="6189" width="10.28515625" bestFit="1" customWidth="1"/>
    <col min="6190" max="6191" width="9.28515625" bestFit="1" customWidth="1"/>
    <col min="6193" max="6193" width="10.28515625" bestFit="1" customWidth="1"/>
    <col min="6194" max="6195" width="9.28515625" bestFit="1" customWidth="1"/>
    <col min="6197" max="6197" width="10.28515625" bestFit="1" customWidth="1"/>
    <col min="6198" max="6199" width="9.28515625" bestFit="1" customWidth="1"/>
    <col min="6201" max="6201" width="10.28515625" bestFit="1" customWidth="1"/>
    <col min="6202" max="6203" width="9.28515625" bestFit="1" customWidth="1"/>
    <col min="6205" max="6205" width="10.28515625" bestFit="1" customWidth="1"/>
    <col min="6206" max="6207" width="9.28515625" bestFit="1" customWidth="1"/>
    <col min="6209" max="6209" width="10.28515625" bestFit="1" customWidth="1"/>
    <col min="6210" max="6211" width="9.28515625" bestFit="1" customWidth="1"/>
    <col min="6213" max="6213" width="10.28515625" bestFit="1" customWidth="1"/>
    <col min="6214" max="6215" width="9.28515625" bestFit="1" customWidth="1"/>
    <col min="6217" max="6217" width="10.28515625" bestFit="1" customWidth="1"/>
    <col min="6218" max="6219" width="9.28515625" bestFit="1" customWidth="1"/>
    <col min="6221" max="6221" width="10.28515625" bestFit="1" customWidth="1"/>
    <col min="6222" max="6223" width="9.28515625" bestFit="1" customWidth="1"/>
    <col min="6225" max="6225" width="10.28515625" bestFit="1" customWidth="1"/>
    <col min="6226" max="6227" width="9.28515625" bestFit="1" customWidth="1"/>
    <col min="6229" max="6229" width="10.28515625" bestFit="1" customWidth="1"/>
    <col min="6230" max="6231" width="9.28515625" bestFit="1" customWidth="1"/>
    <col min="6233" max="6233" width="10.28515625" bestFit="1" customWidth="1"/>
    <col min="6234" max="6235" width="9.28515625" bestFit="1" customWidth="1"/>
    <col min="6237" max="6237" width="10.28515625" bestFit="1" customWidth="1"/>
    <col min="6238" max="6239" width="9.28515625" bestFit="1" customWidth="1"/>
    <col min="6241" max="6241" width="10.28515625" bestFit="1" customWidth="1"/>
    <col min="6242" max="6243" width="9.28515625" bestFit="1" customWidth="1"/>
    <col min="6245" max="6245" width="10.28515625" bestFit="1" customWidth="1"/>
    <col min="6246" max="6247" width="9.28515625" bestFit="1" customWidth="1"/>
    <col min="6249" max="6249" width="10.28515625" bestFit="1" customWidth="1"/>
    <col min="6250" max="6251" width="9.28515625" bestFit="1" customWidth="1"/>
    <col min="6253" max="6253" width="10.28515625" bestFit="1" customWidth="1"/>
    <col min="6254" max="6255" width="9.28515625" bestFit="1" customWidth="1"/>
    <col min="6257" max="6257" width="10.28515625" bestFit="1" customWidth="1"/>
    <col min="6258" max="6259" width="9.28515625" bestFit="1" customWidth="1"/>
    <col min="6261" max="6261" width="10.28515625" bestFit="1" customWidth="1"/>
    <col min="6262" max="6263" width="9.28515625" bestFit="1" customWidth="1"/>
    <col min="6265" max="6265" width="10.28515625" bestFit="1" customWidth="1"/>
    <col min="6266" max="6267" width="9.28515625" bestFit="1" customWidth="1"/>
    <col min="6269" max="6269" width="10.28515625" bestFit="1" customWidth="1"/>
    <col min="6270" max="6271" width="9.28515625" bestFit="1" customWidth="1"/>
    <col min="6273" max="6273" width="10.28515625" bestFit="1" customWidth="1"/>
    <col min="6274" max="6275" width="9.28515625" bestFit="1" customWidth="1"/>
    <col min="6277" max="6277" width="10.28515625" bestFit="1" customWidth="1"/>
    <col min="6278" max="6279" width="9.28515625" bestFit="1" customWidth="1"/>
    <col min="6281" max="6281" width="10.28515625" bestFit="1" customWidth="1"/>
    <col min="6282" max="6283" width="9.28515625" bestFit="1" customWidth="1"/>
    <col min="6285" max="6285" width="10.28515625" bestFit="1" customWidth="1"/>
    <col min="6286" max="6287" width="9.28515625" bestFit="1" customWidth="1"/>
    <col min="6289" max="6289" width="10.28515625" bestFit="1" customWidth="1"/>
    <col min="6290" max="6291" width="9.28515625" bestFit="1" customWidth="1"/>
    <col min="6293" max="6293" width="10.28515625" bestFit="1" customWidth="1"/>
    <col min="6294" max="6295" width="9.28515625" bestFit="1" customWidth="1"/>
    <col min="6297" max="6297" width="10.28515625" bestFit="1" customWidth="1"/>
    <col min="6298" max="6299" width="9.28515625" bestFit="1" customWidth="1"/>
    <col min="6301" max="6301" width="10.28515625" bestFit="1" customWidth="1"/>
    <col min="6302" max="6303" width="9.28515625" bestFit="1" customWidth="1"/>
    <col min="6305" max="6305" width="10.28515625" bestFit="1" customWidth="1"/>
    <col min="6306" max="6307" width="9.28515625" bestFit="1" customWidth="1"/>
    <col min="6309" max="6309" width="10.28515625" bestFit="1" customWidth="1"/>
    <col min="6310" max="6311" width="9.28515625" bestFit="1" customWidth="1"/>
    <col min="6313" max="6313" width="10.28515625" bestFit="1" customWidth="1"/>
    <col min="6314" max="6315" width="9.28515625" bestFit="1" customWidth="1"/>
    <col min="6317" max="6317" width="10.28515625" bestFit="1" customWidth="1"/>
    <col min="6318" max="6319" width="9.28515625" bestFit="1" customWidth="1"/>
    <col min="6321" max="6321" width="10.28515625" bestFit="1" customWidth="1"/>
    <col min="6322" max="6323" width="9.28515625" bestFit="1" customWidth="1"/>
    <col min="6325" max="6325" width="10.28515625" bestFit="1" customWidth="1"/>
    <col min="6326" max="6327" width="9.28515625" bestFit="1" customWidth="1"/>
    <col min="6329" max="6329" width="10.28515625" bestFit="1" customWidth="1"/>
    <col min="6330" max="6331" width="9.28515625" bestFit="1" customWidth="1"/>
    <col min="6333" max="6333" width="10.28515625" bestFit="1" customWidth="1"/>
    <col min="6334" max="6335" width="9.28515625" bestFit="1" customWidth="1"/>
    <col min="6337" max="6337" width="10.28515625" bestFit="1" customWidth="1"/>
    <col min="6338" max="6339" width="9.28515625" bestFit="1" customWidth="1"/>
    <col min="6341" max="6341" width="10.28515625" bestFit="1" customWidth="1"/>
    <col min="6342" max="6343" width="9.28515625" bestFit="1" customWidth="1"/>
    <col min="6345" max="6345" width="10.28515625" bestFit="1" customWidth="1"/>
    <col min="6346" max="6347" width="9.28515625" bestFit="1" customWidth="1"/>
    <col min="6349" max="6349" width="10.28515625" bestFit="1" customWidth="1"/>
    <col min="6350" max="6351" width="9.28515625" bestFit="1" customWidth="1"/>
    <col min="6353" max="6353" width="10.28515625" bestFit="1" customWidth="1"/>
    <col min="6354" max="6355" width="9.28515625" bestFit="1" customWidth="1"/>
    <col min="6357" max="6357" width="10.28515625" bestFit="1" customWidth="1"/>
    <col min="6358" max="6359" width="9.28515625" bestFit="1" customWidth="1"/>
    <col min="6361" max="6361" width="10.28515625" bestFit="1" customWidth="1"/>
    <col min="6362" max="6363" width="9.28515625" bestFit="1" customWidth="1"/>
    <col min="6365" max="6365" width="10.28515625" bestFit="1" customWidth="1"/>
    <col min="6366" max="6367" width="9.28515625" bestFit="1" customWidth="1"/>
    <col min="6369" max="6369" width="10.28515625" bestFit="1" customWidth="1"/>
    <col min="6370" max="6371" width="9.28515625" bestFit="1" customWidth="1"/>
    <col min="6373" max="6373" width="10.28515625" bestFit="1" customWidth="1"/>
    <col min="6374" max="6375" width="9.28515625" bestFit="1" customWidth="1"/>
    <col min="6377" max="6377" width="10.28515625" bestFit="1" customWidth="1"/>
    <col min="6378" max="6379" width="9.28515625" bestFit="1" customWidth="1"/>
    <col min="6381" max="6381" width="10.28515625" bestFit="1" customWidth="1"/>
    <col min="6382" max="6383" width="9.28515625" bestFit="1" customWidth="1"/>
    <col min="6385" max="6385" width="10.28515625" bestFit="1" customWidth="1"/>
    <col min="6386" max="6387" width="9.28515625" bestFit="1" customWidth="1"/>
    <col min="6389" max="6389" width="10.28515625" bestFit="1" customWidth="1"/>
    <col min="6390" max="6391" width="9.28515625" bestFit="1" customWidth="1"/>
    <col min="6393" max="6393" width="10.28515625" bestFit="1" customWidth="1"/>
    <col min="6394" max="6395" width="9.28515625" bestFit="1" customWidth="1"/>
    <col min="6397" max="6397" width="10.28515625" bestFit="1" customWidth="1"/>
    <col min="6398" max="6399" width="9.28515625" bestFit="1" customWidth="1"/>
    <col min="6401" max="6401" width="10.28515625" bestFit="1" customWidth="1"/>
    <col min="6402" max="6403" width="9.28515625" bestFit="1" customWidth="1"/>
    <col min="6405" max="6405" width="10.28515625" bestFit="1" customWidth="1"/>
    <col min="6406" max="6407" width="9.28515625" bestFit="1" customWidth="1"/>
    <col min="6409" max="6409" width="10.28515625" bestFit="1" customWidth="1"/>
    <col min="6410" max="6411" width="9.28515625" bestFit="1" customWidth="1"/>
    <col min="6413" max="6413" width="10.28515625" bestFit="1" customWidth="1"/>
    <col min="6414" max="6415" width="9.28515625" bestFit="1" customWidth="1"/>
    <col min="6417" max="6417" width="10.28515625" bestFit="1" customWidth="1"/>
    <col min="6418" max="6419" width="9.28515625" bestFit="1" customWidth="1"/>
    <col min="6421" max="6421" width="10.28515625" bestFit="1" customWidth="1"/>
    <col min="6422" max="6423" width="9.28515625" bestFit="1" customWidth="1"/>
    <col min="6425" max="6425" width="10.28515625" bestFit="1" customWidth="1"/>
    <col min="6426" max="6427" width="9.28515625" bestFit="1" customWidth="1"/>
    <col min="6429" max="6429" width="10.28515625" bestFit="1" customWidth="1"/>
    <col min="6430" max="6431" width="9.28515625" bestFit="1" customWidth="1"/>
    <col min="6433" max="6433" width="10.28515625" bestFit="1" customWidth="1"/>
    <col min="6434" max="6435" width="9.28515625" bestFit="1" customWidth="1"/>
    <col min="6437" max="6437" width="10.28515625" bestFit="1" customWidth="1"/>
    <col min="6438" max="6439" width="9.28515625" bestFit="1" customWidth="1"/>
    <col min="6441" max="6441" width="10.28515625" bestFit="1" customWidth="1"/>
    <col min="6442" max="6443" width="9.28515625" bestFit="1" customWidth="1"/>
    <col min="6445" max="6445" width="10.28515625" bestFit="1" customWidth="1"/>
    <col min="6446" max="6447" width="9.28515625" bestFit="1" customWidth="1"/>
    <col min="6449" max="6449" width="10.28515625" bestFit="1" customWidth="1"/>
    <col min="6450" max="6451" width="9.28515625" bestFit="1" customWidth="1"/>
    <col min="6453" max="6453" width="10.28515625" bestFit="1" customWidth="1"/>
    <col min="6454" max="6455" width="9.28515625" bestFit="1" customWidth="1"/>
    <col min="6457" max="6457" width="10.28515625" bestFit="1" customWidth="1"/>
    <col min="6458" max="6459" width="9.28515625" bestFit="1" customWidth="1"/>
    <col min="6461" max="6461" width="10.28515625" bestFit="1" customWidth="1"/>
    <col min="6462" max="6463" width="9.28515625" bestFit="1" customWidth="1"/>
    <col min="6465" max="6465" width="10.28515625" bestFit="1" customWidth="1"/>
    <col min="6466" max="6467" width="9.28515625" bestFit="1" customWidth="1"/>
    <col min="6469" max="6469" width="10.28515625" bestFit="1" customWidth="1"/>
    <col min="6470" max="6471" width="9.28515625" bestFit="1" customWidth="1"/>
    <col min="6473" max="6473" width="10.28515625" bestFit="1" customWidth="1"/>
    <col min="6474" max="6475" width="9.28515625" bestFit="1" customWidth="1"/>
    <col min="6477" max="6477" width="10.28515625" bestFit="1" customWidth="1"/>
    <col min="6478" max="6479" width="9.28515625" bestFit="1" customWidth="1"/>
    <col min="6481" max="6481" width="10.28515625" bestFit="1" customWidth="1"/>
    <col min="6482" max="6483" width="9.28515625" bestFit="1" customWidth="1"/>
    <col min="6485" max="6485" width="10.28515625" bestFit="1" customWidth="1"/>
    <col min="6486" max="6487" width="9.28515625" bestFit="1" customWidth="1"/>
    <col min="6489" max="6489" width="10.28515625" bestFit="1" customWidth="1"/>
    <col min="6490" max="6491" width="9.28515625" bestFit="1" customWidth="1"/>
    <col min="6493" max="6493" width="10.28515625" bestFit="1" customWidth="1"/>
    <col min="6494" max="6495" width="9.28515625" bestFit="1" customWidth="1"/>
    <col min="6497" max="6497" width="10.28515625" bestFit="1" customWidth="1"/>
    <col min="6498" max="6499" width="9.28515625" bestFit="1" customWidth="1"/>
    <col min="6501" max="6501" width="10.28515625" bestFit="1" customWidth="1"/>
    <col min="6502" max="6503" width="9.28515625" bestFit="1" customWidth="1"/>
    <col min="6505" max="6505" width="10.28515625" bestFit="1" customWidth="1"/>
    <col min="6506" max="6507" width="9.28515625" bestFit="1" customWidth="1"/>
    <col min="6509" max="6509" width="10.28515625" bestFit="1" customWidth="1"/>
    <col min="6510" max="6511" width="9.28515625" bestFit="1" customWidth="1"/>
    <col min="6513" max="6513" width="10.28515625" bestFit="1" customWidth="1"/>
    <col min="6514" max="6515" width="9.28515625" bestFit="1" customWidth="1"/>
    <col min="6517" max="6517" width="10.28515625" bestFit="1" customWidth="1"/>
    <col min="6518" max="6519" width="9.28515625" bestFit="1" customWidth="1"/>
    <col min="6521" max="6521" width="10.28515625" bestFit="1" customWidth="1"/>
    <col min="6522" max="6523" width="9.28515625" bestFit="1" customWidth="1"/>
    <col min="6525" max="6525" width="10.28515625" bestFit="1" customWidth="1"/>
    <col min="6526" max="6527" width="9.28515625" bestFit="1" customWidth="1"/>
    <col min="6529" max="6529" width="10.28515625" bestFit="1" customWidth="1"/>
    <col min="6530" max="6531" width="9.28515625" bestFit="1" customWidth="1"/>
    <col min="6533" max="6533" width="10.28515625" bestFit="1" customWidth="1"/>
    <col min="6534" max="6535" width="9.28515625" bestFit="1" customWidth="1"/>
    <col min="6537" max="6537" width="10.28515625" bestFit="1" customWidth="1"/>
    <col min="6538" max="6539" width="9.28515625" bestFit="1" customWidth="1"/>
    <col min="6541" max="6541" width="10.28515625" bestFit="1" customWidth="1"/>
    <col min="6542" max="6543" width="9.28515625" bestFit="1" customWidth="1"/>
    <col min="6545" max="6545" width="10.28515625" bestFit="1" customWidth="1"/>
    <col min="6546" max="6547" width="9.28515625" bestFit="1" customWidth="1"/>
    <col min="6549" max="6549" width="10.28515625" bestFit="1" customWidth="1"/>
    <col min="6550" max="6551" width="9.28515625" bestFit="1" customWidth="1"/>
    <col min="6553" max="6553" width="10.28515625" bestFit="1" customWidth="1"/>
    <col min="6554" max="6555" width="9.28515625" bestFit="1" customWidth="1"/>
    <col min="6557" max="6557" width="10.28515625" bestFit="1" customWidth="1"/>
    <col min="6558" max="6559" width="9.28515625" bestFit="1" customWidth="1"/>
    <col min="6561" max="6561" width="10.28515625" bestFit="1" customWidth="1"/>
    <col min="6562" max="6563" width="9.28515625" bestFit="1" customWidth="1"/>
    <col min="6565" max="6565" width="10.28515625" bestFit="1" customWidth="1"/>
    <col min="6566" max="6567" width="9.28515625" bestFit="1" customWidth="1"/>
    <col min="6569" max="6569" width="10.28515625" bestFit="1" customWidth="1"/>
    <col min="6570" max="6571" width="9.28515625" bestFit="1" customWidth="1"/>
    <col min="6573" max="6573" width="10.28515625" bestFit="1" customWidth="1"/>
    <col min="6574" max="6575" width="9.28515625" bestFit="1" customWidth="1"/>
    <col min="6577" max="6577" width="10.28515625" bestFit="1" customWidth="1"/>
    <col min="6578" max="6579" width="9.28515625" bestFit="1" customWidth="1"/>
    <col min="6581" max="6581" width="10.28515625" bestFit="1" customWidth="1"/>
    <col min="6582" max="6583" width="9.28515625" bestFit="1" customWidth="1"/>
    <col min="6585" max="6585" width="10.28515625" bestFit="1" customWidth="1"/>
    <col min="6586" max="6587" width="9.28515625" bestFit="1" customWidth="1"/>
    <col min="6589" max="6589" width="10.28515625" bestFit="1" customWidth="1"/>
    <col min="6590" max="6591" width="9.28515625" bestFit="1" customWidth="1"/>
    <col min="6593" max="6593" width="10.28515625" bestFit="1" customWidth="1"/>
    <col min="6594" max="6595" width="9.28515625" bestFit="1" customWidth="1"/>
    <col min="6597" max="6597" width="10.28515625" bestFit="1" customWidth="1"/>
    <col min="6598" max="6599" width="9.28515625" bestFit="1" customWidth="1"/>
    <col min="6601" max="6601" width="10.28515625" bestFit="1" customWidth="1"/>
    <col min="6602" max="6603" width="9.28515625" bestFit="1" customWidth="1"/>
    <col min="6605" max="6605" width="10.28515625" bestFit="1" customWidth="1"/>
    <col min="6606" max="6607" width="9.28515625" bestFit="1" customWidth="1"/>
    <col min="6609" max="6609" width="10.28515625" bestFit="1" customWidth="1"/>
    <col min="6610" max="6611" width="9.28515625" bestFit="1" customWidth="1"/>
    <col min="6613" max="6613" width="10.28515625" bestFit="1" customWidth="1"/>
    <col min="6614" max="6615" width="9.28515625" bestFit="1" customWidth="1"/>
    <col min="6617" max="6617" width="10.28515625" bestFit="1" customWidth="1"/>
    <col min="6618" max="6619" width="9.28515625" bestFit="1" customWidth="1"/>
    <col min="6621" max="6621" width="10.28515625" bestFit="1" customWidth="1"/>
    <col min="6622" max="6623" width="9.28515625" bestFit="1" customWidth="1"/>
    <col min="6625" max="6625" width="10.28515625" bestFit="1" customWidth="1"/>
    <col min="6626" max="6627" width="9.28515625" bestFit="1" customWidth="1"/>
    <col min="6629" max="6629" width="10.28515625" bestFit="1" customWidth="1"/>
    <col min="6630" max="6631" width="9.28515625" bestFit="1" customWidth="1"/>
    <col min="6633" max="6633" width="10.28515625" bestFit="1" customWidth="1"/>
    <col min="6634" max="6635" width="9.28515625" bestFit="1" customWidth="1"/>
    <col min="6637" max="6637" width="10.28515625" bestFit="1" customWidth="1"/>
    <col min="6638" max="6639" width="9.28515625" bestFit="1" customWidth="1"/>
    <col min="6641" max="6641" width="10.28515625" bestFit="1" customWidth="1"/>
    <col min="6642" max="6643" width="9.28515625" bestFit="1" customWidth="1"/>
    <col min="6645" max="6645" width="10.28515625" bestFit="1" customWidth="1"/>
    <col min="6646" max="6647" width="9.28515625" bestFit="1" customWidth="1"/>
    <col min="6649" max="6649" width="10.28515625" bestFit="1" customWidth="1"/>
    <col min="6650" max="6651" width="9.28515625" bestFit="1" customWidth="1"/>
    <col min="6653" max="6653" width="10.28515625" bestFit="1" customWidth="1"/>
    <col min="6654" max="6655" width="9.28515625" bestFit="1" customWidth="1"/>
    <col min="6657" max="6657" width="10.28515625" bestFit="1" customWidth="1"/>
    <col min="6658" max="6659" width="9.28515625" bestFit="1" customWidth="1"/>
    <col min="6661" max="6661" width="10.28515625" bestFit="1" customWidth="1"/>
    <col min="6662" max="6663" width="9.28515625" bestFit="1" customWidth="1"/>
    <col min="6665" max="6665" width="10.28515625" bestFit="1" customWidth="1"/>
    <col min="6666" max="6667" width="9.28515625" bestFit="1" customWidth="1"/>
    <col min="6669" max="6669" width="10.28515625" bestFit="1" customWidth="1"/>
    <col min="6670" max="6671" width="9.28515625" bestFit="1" customWidth="1"/>
    <col min="6673" max="6673" width="10.28515625" bestFit="1" customWidth="1"/>
    <col min="6674" max="6675" width="9.28515625" bestFit="1" customWidth="1"/>
    <col min="6677" max="6677" width="10.28515625" bestFit="1" customWidth="1"/>
    <col min="6678" max="6679" width="9.28515625" bestFit="1" customWidth="1"/>
    <col min="6681" max="6681" width="10.28515625" bestFit="1" customWidth="1"/>
    <col min="6682" max="6683" width="9.28515625" bestFit="1" customWidth="1"/>
    <col min="6685" max="6685" width="10.28515625" bestFit="1" customWidth="1"/>
    <col min="6686" max="6687" width="9.28515625" bestFit="1" customWidth="1"/>
    <col min="6689" max="6689" width="10.28515625" bestFit="1" customWidth="1"/>
    <col min="6690" max="6691" width="9.28515625" bestFit="1" customWidth="1"/>
    <col min="6693" max="6693" width="10.28515625" bestFit="1" customWidth="1"/>
    <col min="6694" max="6695" width="9.28515625" bestFit="1" customWidth="1"/>
    <col min="6697" max="6697" width="10.28515625" bestFit="1" customWidth="1"/>
    <col min="6698" max="6699" width="9.28515625" bestFit="1" customWidth="1"/>
    <col min="6701" max="6701" width="10.28515625" bestFit="1" customWidth="1"/>
    <col min="6702" max="6703" width="9.28515625" bestFit="1" customWidth="1"/>
    <col min="6705" max="6705" width="10.28515625" bestFit="1" customWidth="1"/>
    <col min="6706" max="6707" width="9.28515625" bestFit="1" customWidth="1"/>
    <col min="6709" max="6709" width="10.28515625" bestFit="1" customWidth="1"/>
    <col min="6710" max="6711" width="9.28515625" bestFit="1" customWidth="1"/>
    <col min="6713" max="6713" width="10.28515625" bestFit="1" customWidth="1"/>
    <col min="6714" max="6715" width="9.28515625" bestFit="1" customWidth="1"/>
    <col min="6717" max="6717" width="10.28515625" bestFit="1" customWidth="1"/>
    <col min="6718" max="6719" width="9.28515625" bestFit="1" customWidth="1"/>
    <col min="6721" max="6721" width="10.28515625" bestFit="1" customWidth="1"/>
    <col min="6722" max="6723" width="9.28515625" bestFit="1" customWidth="1"/>
    <col min="6725" max="6725" width="10.28515625" bestFit="1" customWidth="1"/>
    <col min="6726" max="6727" width="9.28515625" bestFit="1" customWidth="1"/>
    <col min="6729" max="6729" width="10.28515625" bestFit="1" customWidth="1"/>
    <col min="6730" max="6731" width="9.28515625" bestFit="1" customWidth="1"/>
    <col min="6733" max="6733" width="10.28515625" bestFit="1" customWidth="1"/>
    <col min="6734" max="6735" width="9.28515625" bestFit="1" customWidth="1"/>
    <col min="6737" max="6737" width="10.28515625" bestFit="1" customWidth="1"/>
    <col min="6738" max="6739" width="9.28515625" bestFit="1" customWidth="1"/>
    <col min="6741" max="6741" width="10.28515625" bestFit="1" customWidth="1"/>
    <col min="6742" max="6743" width="9.28515625" bestFit="1" customWidth="1"/>
    <col min="6745" max="6745" width="10.28515625" bestFit="1" customWidth="1"/>
    <col min="6746" max="6747" width="9.28515625" bestFit="1" customWidth="1"/>
    <col min="6749" max="6749" width="10.28515625" bestFit="1" customWidth="1"/>
    <col min="6750" max="6751" width="9.28515625" bestFit="1" customWidth="1"/>
    <col min="6753" max="6753" width="10.28515625" bestFit="1" customWidth="1"/>
    <col min="6754" max="6755" width="9.28515625" bestFit="1" customWidth="1"/>
    <col min="6757" max="6757" width="10.28515625" bestFit="1" customWidth="1"/>
    <col min="6758" max="6759" width="9.28515625" bestFit="1" customWidth="1"/>
    <col min="6761" max="6761" width="10.28515625" bestFit="1" customWidth="1"/>
    <col min="6762" max="6763" width="9.28515625" bestFit="1" customWidth="1"/>
    <col min="6765" max="6765" width="10.28515625" bestFit="1" customWidth="1"/>
    <col min="6766" max="6767" width="9.28515625" bestFit="1" customWidth="1"/>
    <col min="6769" max="6769" width="10.28515625" bestFit="1" customWidth="1"/>
    <col min="6770" max="6771" width="9.28515625" bestFit="1" customWidth="1"/>
    <col min="6773" max="6773" width="10.28515625" bestFit="1" customWidth="1"/>
    <col min="6774" max="6775" width="9.28515625" bestFit="1" customWidth="1"/>
    <col min="6777" max="6777" width="10.28515625" bestFit="1" customWidth="1"/>
    <col min="6778" max="6779" width="9.28515625" bestFit="1" customWidth="1"/>
    <col min="6781" max="6781" width="10.28515625" bestFit="1" customWidth="1"/>
    <col min="6782" max="6783" width="9.28515625" bestFit="1" customWidth="1"/>
    <col min="6785" max="6785" width="10.28515625" bestFit="1" customWidth="1"/>
    <col min="6786" max="6787" width="9.28515625" bestFit="1" customWidth="1"/>
    <col min="6789" max="6789" width="10.28515625" bestFit="1" customWidth="1"/>
    <col min="6790" max="6791" width="9.28515625" bestFit="1" customWidth="1"/>
    <col min="6793" max="6793" width="10.28515625" bestFit="1" customWidth="1"/>
    <col min="6794" max="6795" width="9.28515625" bestFit="1" customWidth="1"/>
    <col min="6797" max="6797" width="10.28515625" bestFit="1" customWidth="1"/>
    <col min="6798" max="6799" width="9.28515625" bestFit="1" customWidth="1"/>
    <col min="6801" max="6801" width="10.28515625" bestFit="1" customWidth="1"/>
    <col min="6802" max="6803" width="9.28515625" bestFit="1" customWidth="1"/>
    <col min="6805" max="6805" width="10.28515625" bestFit="1" customWidth="1"/>
    <col min="6806" max="6807" width="9.28515625" bestFit="1" customWidth="1"/>
    <col min="6809" max="6809" width="10.28515625" bestFit="1" customWidth="1"/>
    <col min="6810" max="6811" width="9.28515625" bestFit="1" customWidth="1"/>
    <col min="6813" max="6813" width="10.28515625" bestFit="1" customWidth="1"/>
    <col min="6814" max="6815" width="9.28515625" bestFit="1" customWidth="1"/>
    <col min="6817" max="6817" width="10.28515625" bestFit="1" customWidth="1"/>
    <col min="6818" max="6819" width="9.28515625" bestFit="1" customWidth="1"/>
    <col min="6821" max="6821" width="10.28515625" bestFit="1" customWidth="1"/>
    <col min="6822" max="6823" width="9.28515625" bestFit="1" customWidth="1"/>
    <col min="6825" max="6825" width="10.28515625" bestFit="1" customWidth="1"/>
    <col min="6826" max="6827" width="9.28515625" bestFit="1" customWidth="1"/>
    <col min="6829" max="6829" width="10.28515625" bestFit="1" customWidth="1"/>
    <col min="6830" max="6831" width="9.28515625" bestFit="1" customWidth="1"/>
    <col min="6833" max="6833" width="10.28515625" bestFit="1" customWidth="1"/>
    <col min="6834" max="6835" width="9.28515625" bestFit="1" customWidth="1"/>
    <col min="6837" max="6837" width="10.28515625" bestFit="1" customWidth="1"/>
    <col min="6838" max="6839" width="9.28515625" bestFit="1" customWidth="1"/>
    <col min="6841" max="6841" width="10.28515625" bestFit="1" customWidth="1"/>
    <col min="6842" max="6843" width="9.28515625" bestFit="1" customWidth="1"/>
    <col min="6845" max="6845" width="10.28515625" bestFit="1" customWidth="1"/>
    <col min="6846" max="6847" width="9.28515625" bestFit="1" customWidth="1"/>
    <col min="6849" max="6849" width="10.28515625" bestFit="1" customWidth="1"/>
    <col min="6850" max="6851" width="9.28515625" bestFit="1" customWidth="1"/>
    <col min="6853" max="6853" width="10.28515625" bestFit="1" customWidth="1"/>
    <col min="6854" max="6855" width="9.28515625" bestFit="1" customWidth="1"/>
    <col min="6857" max="6857" width="10.28515625" bestFit="1" customWidth="1"/>
    <col min="6858" max="6859" width="9.28515625" bestFit="1" customWidth="1"/>
    <col min="6861" max="6861" width="10.28515625" bestFit="1" customWidth="1"/>
    <col min="6862" max="6863" width="9.28515625" bestFit="1" customWidth="1"/>
    <col min="6865" max="6865" width="10.28515625" bestFit="1" customWidth="1"/>
    <col min="6866" max="6867" width="9.28515625" bestFit="1" customWidth="1"/>
    <col min="6869" max="6869" width="10.28515625" bestFit="1" customWidth="1"/>
    <col min="6870" max="6871" width="9.28515625" bestFit="1" customWidth="1"/>
    <col min="6873" max="6873" width="10.28515625" bestFit="1" customWidth="1"/>
    <col min="6874" max="6875" width="9.28515625" bestFit="1" customWidth="1"/>
    <col min="6877" max="6877" width="10.28515625" bestFit="1" customWidth="1"/>
    <col min="6878" max="6879" width="9.28515625" bestFit="1" customWidth="1"/>
    <col min="6881" max="6881" width="10.28515625" bestFit="1" customWidth="1"/>
    <col min="6882" max="6883" width="9.28515625" bestFit="1" customWidth="1"/>
    <col min="6885" max="6885" width="10.28515625" bestFit="1" customWidth="1"/>
    <col min="6886" max="6887" width="9.28515625" bestFit="1" customWidth="1"/>
    <col min="6889" max="6889" width="10.28515625" bestFit="1" customWidth="1"/>
    <col min="6890" max="6891" width="9.28515625" bestFit="1" customWidth="1"/>
    <col min="6893" max="6893" width="10.28515625" bestFit="1" customWidth="1"/>
    <col min="6894" max="6895" width="9.28515625" bestFit="1" customWidth="1"/>
    <col min="6897" max="6897" width="10.28515625" bestFit="1" customWidth="1"/>
    <col min="6898" max="6899" width="9.28515625" bestFit="1" customWidth="1"/>
    <col min="6901" max="6901" width="10.28515625" bestFit="1" customWidth="1"/>
    <col min="6902" max="6903" width="9.28515625" bestFit="1" customWidth="1"/>
    <col min="6905" max="6905" width="10.28515625" bestFit="1" customWidth="1"/>
    <col min="6906" max="6907" width="9.28515625" bestFit="1" customWidth="1"/>
    <col min="6909" max="6909" width="10.28515625" bestFit="1" customWidth="1"/>
    <col min="6910" max="6911" width="9.28515625" bestFit="1" customWidth="1"/>
    <col min="6913" max="6913" width="10.28515625" bestFit="1" customWidth="1"/>
    <col min="6914" max="6915" width="9.28515625" bestFit="1" customWidth="1"/>
    <col min="6917" max="6917" width="10.28515625" bestFit="1" customWidth="1"/>
    <col min="6918" max="6919" width="9.28515625" bestFit="1" customWidth="1"/>
    <col min="6921" max="6921" width="10.28515625" bestFit="1" customWidth="1"/>
    <col min="6922" max="6923" width="9.28515625" bestFit="1" customWidth="1"/>
    <col min="6925" max="6925" width="10.28515625" bestFit="1" customWidth="1"/>
    <col min="6926" max="6927" width="9.28515625" bestFit="1" customWidth="1"/>
    <col min="6929" max="6929" width="10.28515625" bestFit="1" customWidth="1"/>
    <col min="6930" max="6931" width="9.28515625" bestFit="1" customWidth="1"/>
    <col min="6933" max="6933" width="10.28515625" bestFit="1" customWidth="1"/>
    <col min="6934" max="6935" width="9.28515625" bestFit="1" customWidth="1"/>
    <col min="6937" max="6937" width="10.28515625" bestFit="1" customWidth="1"/>
    <col min="6938" max="6939" width="9.28515625" bestFit="1" customWidth="1"/>
    <col min="6941" max="6941" width="10.28515625" bestFit="1" customWidth="1"/>
    <col min="6942" max="6943" width="9.28515625" bestFit="1" customWidth="1"/>
    <col min="6945" max="6945" width="10.28515625" bestFit="1" customWidth="1"/>
    <col min="6946" max="6947" width="9.28515625" bestFit="1" customWidth="1"/>
    <col min="6949" max="6949" width="10.28515625" bestFit="1" customWidth="1"/>
    <col min="6950" max="6951" width="9.28515625" bestFit="1" customWidth="1"/>
    <col min="6953" max="6953" width="10.28515625" bestFit="1" customWidth="1"/>
    <col min="6954" max="6955" width="9.28515625" bestFit="1" customWidth="1"/>
    <col min="6957" max="6957" width="10.28515625" bestFit="1" customWidth="1"/>
    <col min="6958" max="6959" width="9.28515625" bestFit="1" customWidth="1"/>
    <col min="6961" max="6961" width="10.28515625" bestFit="1" customWidth="1"/>
    <col min="6962" max="6963" width="9.28515625" bestFit="1" customWidth="1"/>
    <col min="6965" max="6965" width="10.28515625" bestFit="1" customWidth="1"/>
    <col min="6966" max="6967" width="9.28515625" bestFit="1" customWidth="1"/>
    <col min="6969" max="6969" width="10.28515625" bestFit="1" customWidth="1"/>
    <col min="6970" max="6971" width="9.28515625" bestFit="1" customWidth="1"/>
    <col min="6973" max="6973" width="10.28515625" bestFit="1" customWidth="1"/>
    <col min="6974" max="6975" width="9.28515625" bestFit="1" customWidth="1"/>
    <col min="6977" max="6977" width="10.28515625" bestFit="1" customWidth="1"/>
    <col min="6978" max="6979" width="9.28515625" bestFit="1" customWidth="1"/>
    <col min="6981" max="6981" width="10.28515625" bestFit="1" customWidth="1"/>
    <col min="6982" max="6983" width="9.28515625" bestFit="1" customWidth="1"/>
    <col min="6985" max="6985" width="10.28515625" bestFit="1" customWidth="1"/>
    <col min="6986" max="6987" width="9.28515625" bestFit="1" customWidth="1"/>
    <col min="6989" max="6989" width="10.28515625" bestFit="1" customWidth="1"/>
    <col min="6990" max="6991" width="9.28515625" bestFit="1" customWidth="1"/>
    <col min="6993" max="6993" width="10.28515625" bestFit="1" customWidth="1"/>
    <col min="6994" max="6995" width="9.28515625" bestFit="1" customWidth="1"/>
    <col min="6997" max="6997" width="10.28515625" bestFit="1" customWidth="1"/>
    <col min="6998" max="6999" width="9.28515625" bestFit="1" customWidth="1"/>
    <col min="7001" max="7001" width="10.28515625" bestFit="1" customWidth="1"/>
    <col min="7002" max="7003" width="9.28515625" bestFit="1" customWidth="1"/>
    <col min="7005" max="7005" width="10.28515625" bestFit="1" customWidth="1"/>
    <col min="7006" max="7007" width="9.28515625" bestFit="1" customWidth="1"/>
    <col min="7009" max="7009" width="10.28515625" bestFit="1" customWidth="1"/>
    <col min="7010" max="7011" width="9.28515625" bestFit="1" customWidth="1"/>
    <col min="7013" max="7013" width="10.28515625" bestFit="1" customWidth="1"/>
    <col min="7014" max="7015" width="9.28515625" bestFit="1" customWidth="1"/>
    <col min="7017" max="7017" width="10.28515625" bestFit="1" customWidth="1"/>
    <col min="7018" max="7019" width="9.28515625" bestFit="1" customWidth="1"/>
    <col min="7021" max="7021" width="10.28515625" bestFit="1" customWidth="1"/>
    <col min="7022" max="7023" width="9.28515625" bestFit="1" customWidth="1"/>
    <col min="7025" max="7025" width="10.28515625" bestFit="1" customWidth="1"/>
    <col min="7026" max="7027" width="9.28515625" bestFit="1" customWidth="1"/>
    <col min="7029" max="7029" width="10.28515625" bestFit="1" customWidth="1"/>
    <col min="7030" max="7031" width="9.28515625" bestFit="1" customWidth="1"/>
    <col min="7033" max="7033" width="10.28515625" bestFit="1" customWidth="1"/>
    <col min="7034" max="7035" width="9.28515625" bestFit="1" customWidth="1"/>
    <col min="7037" max="7037" width="10.28515625" bestFit="1" customWidth="1"/>
    <col min="7038" max="7039" width="9.28515625" bestFit="1" customWidth="1"/>
    <col min="7041" max="7041" width="10.28515625" bestFit="1" customWidth="1"/>
    <col min="7042" max="7043" width="9.28515625" bestFit="1" customWidth="1"/>
    <col min="7045" max="7045" width="10.28515625" bestFit="1" customWidth="1"/>
    <col min="7046" max="7047" width="9.28515625" bestFit="1" customWidth="1"/>
    <col min="7049" max="7049" width="10.28515625" bestFit="1" customWidth="1"/>
    <col min="7050" max="7051" width="9.28515625" bestFit="1" customWidth="1"/>
    <col min="7053" max="7053" width="10.28515625" bestFit="1" customWidth="1"/>
    <col min="7054" max="7055" width="9.28515625" bestFit="1" customWidth="1"/>
    <col min="7057" max="7057" width="10.28515625" bestFit="1" customWidth="1"/>
    <col min="7058" max="7059" width="9.28515625" bestFit="1" customWidth="1"/>
    <col min="7061" max="7061" width="10.28515625" bestFit="1" customWidth="1"/>
    <col min="7062" max="7063" width="9.28515625" bestFit="1" customWidth="1"/>
    <col min="7065" max="7065" width="10.28515625" bestFit="1" customWidth="1"/>
    <col min="7066" max="7067" width="9.28515625" bestFit="1" customWidth="1"/>
    <col min="7069" max="7069" width="10.28515625" bestFit="1" customWidth="1"/>
    <col min="7070" max="7071" width="9.28515625" bestFit="1" customWidth="1"/>
    <col min="7073" max="7073" width="10.28515625" bestFit="1" customWidth="1"/>
    <col min="7074" max="7075" width="9.28515625" bestFit="1" customWidth="1"/>
    <col min="7077" max="7077" width="10.28515625" bestFit="1" customWidth="1"/>
    <col min="7078" max="7079" width="9.28515625" bestFit="1" customWidth="1"/>
    <col min="7081" max="7081" width="10.28515625" bestFit="1" customWidth="1"/>
    <col min="7082" max="7083" width="9.28515625" bestFit="1" customWidth="1"/>
    <col min="7085" max="7085" width="10.28515625" bestFit="1" customWidth="1"/>
    <col min="7086" max="7087" width="9.28515625" bestFit="1" customWidth="1"/>
    <col min="7089" max="7089" width="10.28515625" bestFit="1" customWidth="1"/>
    <col min="7090" max="7091" width="9.28515625" bestFit="1" customWidth="1"/>
    <col min="7093" max="7093" width="10.28515625" bestFit="1" customWidth="1"/>
    <col min="7094" max="7095" width="9.28515625" bestFit="1" customWidth="1"/>
    <col min="7097" max="7097" width="10.28515625" bestFit="1" customWidth="1"/>
    <col min="7098" max="7099" width="9.28515625" bestFit="1" customWidth="1"/>
    <col min="7101" max="7101" width="10.28515625" bestFit="1" customWidth="1"/>
    <col min="7102" max="7103" width="9.28515625" bestFit="1" customWidth="1"/>
    <col min="7105" max="7105" width="10.28515625" bestFit="1" customWidth="1"/>
    <col min="7106" max="7107" width="9.28515625" bestFit="1" customWidth="1"/>
    <col min="7109" max="7109" width="10.28515625" bestFit="1" customWidth="1"/>
    <col min="7110" max="7111" width="9.28515625" bestFit="1" customWidth="1"/>
    <col min="7113" max="7113" width="10.28515625" bestFit="1" customWidth="1"/>
    <col min="7114" max="7115" width="9.28515625" bestFit="1" customWidth="1"/>
    <col min="7117" max="7117" width="10.28515625" bestFit="1" customWidth="1"/>
    <col min="7118" max="7119" width="9.28515625" bestFit="1" customWidth="1"/>
    <col min="7121" max="7121" width="10.28515625" bestFit="1" customWidth="1"/>
    <col min="7122" max="7123" width="9.28515625" bestFit="1" customWidth="1"/>
    <col min="7125" max="7125" width="10.28515625" bestFit="1" customWidth="1"/>
    <col min="7126" max="7127" width="9.28515625" bestFit="1" customWidth="1"/>
    <col min="7129" max="7129" width="10.28515625" bestFit="1" customWidth="1"/>
    <col min="7130" max="7131" width="9.28515625" bestFit="1" customWidth="1"/>
    <col min="7133" max="7133" width="10.28515625" bestFit="1" customWidth="1"/>
    <col min="7134" max="7135" width="9.28515625" bestFit="1" customWidth="1"/>
    <col min="7137" max="7137" width="10.28515625" bestFit="1" customWidth="1"/>
    <col min="7138" max="7139" width="9.28515625" bestFit="1" customWidth="1"/>
    <col min="7141" max="7141" width="10.28515625" bestFit="1" customWidth="1"/>
    <col min="7142" max="7143" width="9.28515625" bestFit="1" customWidth="1"/>
    <col min="7145" max="7145" width="10.28515625" bestFit="1" customWidth="1"/>
    <col min="7146" max="7147" width="9.28515625" bestFit="1" customWidth="1"/>
    <col min="7149" max="7149" width="10.28515625" bestFit="1" customWidth="1"/>
    <col min="7150" max="7151" width="9.28515625" bestFit="1" customWidth="1"/>
    <col min="7153" max="7153" width="10.28515625" bestFit="1" customWidth="1"/>
    <col min="7154" max="7155" width="9.28515625" bestFit="1" customWidth="1"/>
    <col min="7157" max="7157" width="10.28515625" bestFit="1" customWidth="1"/>
    <col min="7158" max="7159" width="9.28515625" bestFit="1" customWidth="1"/>
    <col min="7161" max="7161" width="10.28515625" bestFit="1" customWidth="1"/>
    <col min="7162" max="7163" width="9.28515625" bestFit="1" customWidth="1"/>
    <col min="7165" max="7165" width="10.28515625" bestFit="1" customWidth="1"/>
    <col min="7166" max="7167" width="9.28515625" bestFit="1" customWidth="1"/>
    <col min="7169" max="7169" width="10.28515625" bestFit="1" customWidth="1"/>
    <col min="7170" max="7171" width="9.28515625" bestFit="1" customWidth="1"/>
    <col min="7173" max="7173" width="10.28515625" bestFit="1" customWidth="1"/>
    <col min="7174" max="7175" width="9.28515625" bestFit="1" customWidth="1"/>
    <col min="7177" max="7177" width="10.28515625" bestFit="1" customWidth="1"/>
    <col min="7178" max="7179" width="9.28515625" bestFit="1" customWidth="1"/>
    <col min="7181" max="7181" width="10.28515625" bestFit="1" customWidth="1"/>
    <col min="7182" max="7183" width="9.28515625" bestFit="1" customWidth="1"/>
    <col min="7185" max="7185" width="10.28515625" bestFit="1" customWidth="1"/>
    <col min="7186" max="7187" width="9.28515625" bestFit="1" customWidth="1"/>
    <col min="7189" max="7189" width="10.28515625" bestFit="1" customWidth="1"/>
    <col min="7190" max="7191" width="9.28515625" bestFit="1" customWidth="1"/>
    <col min="7193" max="7193" width="10.28515625" bestFit="1" customWidth="1"/>
    <col min="7194" max="7195" width="9.28515625" bestFit="1" customWidth="1"/>
    <col min="7197" max="7197" width="10.28515625" bestFit="1" customWidth="1"/>
    <col min="7198" max="7199" width="9.28515625" bestFit="1" customWidth="1"/>
    <col min="7201" max="7201" width="10.28515625" bestFit="1" customWidth="1"/>
    <col min="7202" max="7203" width="9.28515625" bestFit="1" customWidth="1"/>
    <col min="7205" max="7205" width="10.28515625" bestFit="1" customWidth="1"/>
    <col min="7206" max="7207" width="9.28515625" bestFit="1" customWidth="1"/>
    <col min="7209" max="7209" width="10.28515625" bestFit="1" customWidth="1"/>
    <col min="7210" max="7211" width="9.28515625" bestFit="1" customWidth="1"/>
    <col min="7213" max="7213" width="10.28515625" bestFit="1" customWidth="1"/>
    <col min="7214" max="7215" width="9.28515625" bestFit="1" customWidth="1"/>
    <col min="7217" max="7217" width="10.28515625" bestFit="1" customWidth="1"/>
    <col min="7218" max="7219" width="9.28515625" bestFit="1" customWidth="1"/>
    <col min="7221" max="7221" width="10.28515625" bestFit="1" customWidth="1"/>
    <col min="7222" max="7223" width="9.28515625" bestFit="1" customWidth="1"/>
    <col min="7225" max="7225" width="10.28515625" bestFit="1" customWidth="1"/>
    <col min="7226" max="7227" width="9.28515625" bestFit="1" customWidth="1"/>
    <col min="7229" max="7229" width="10.28515625" bestFit="1" customWidth="1"/>
    <col min="7230" max="7231" width="9.28515625" bestFit="1" customWidth="1"/>
    <col min="7233" max="7233" width="10.28515625" bestFit="1" customWidth="1"/>
    <col min="7234" max="7235" width="9.28515625" bestFit="1" customWidth="1"/>
    <col min="7237" max="7237" width="10.28515625" bestFit="1" customWidth="1"/>
    <col min="7238" max="7239" width="9.28515625" bestFit="1" customWidth="1"/>
    <col min="7241" max="7241" width="10.28515625" bestFit="1" customWidth="1"/>
    <col min="7242" max="7243" width="9.28515625" bestFit="1" customWidth="1"/>
    <col min="7245" max="7245" width="10.28515625" bestFit="1" customWidth="1"/>
    <col min="7246" max="7247" width="9.28515625" bestFit="1" customWidth="1"/>
    <col min="7249" max="7249" width="10.28515625" bestFit="1" customWidth="1"/>
    <col min="7250" max="7251" width="9.28515625" bestFit="1" customWidth="1"/>
    <col min="7253" max="7253" width="10.28515625" bestFit="1" customWidth="1"/>
    <col min="7254" max="7255" width="9.28515625" bestFit="1" customWidth="1"/>
    <col min="7257" max="7257" width="10.28515625" bestFit="1" customWidth="1"/>
    <col min="7258" max="7259" width="9.28515625" bestFit="1" customWidth="1"/>
    <col min="7261" max="7261" width="10.28515625" bestFit="1" customWidth="1"/>
    <col min="7262" max="7263" width="9.28515625" bestFit="1" customWidth="1"/>
    <col min="7265" max="7265" width="10.28515625" bestFit="1" customWidth="1"/>
    <col min="7266" max="7267" width="9.28515625" bestFit="1" customWidth="1"/>
    <col min="7269" max="7269" width="10.28515625" bestFit="1" customWidth="1"/>
    <col min="7270" max="7271" width="9.28515625" bestFit="1" customWidth="1"/>
    <col min="7273" max="7273" width="10.28515625" bestFit="1" customWidth="1"/>
    <col min="7274" max="7275" width="9.28515625" bestFit="1" customWidth="1"/>
    <col min="7277" max="7277" width="10.28515625" bestFit="1" customWidth="1"/>
    <col min="7278" max="7279" width="9.28515625" bestFit="1" customWidth="1"/>
    <col min="7281" max="7281" width="10.28515625" bestFit="1" customWidth="1"/>
    <col min="7282" max="7283" width="9.28515625" bestFit="1" customWidth="1"/>
    <col min="7285" max="7285" width="10.28515625" bestFit="1" customWidth="1"/>
    <col min="7286" max="7287" width="9.28515625" bestFit="1" customWidth="1"/>
    <col min="7289" max="7289" width="10.28515625" bestFit="1" customWidth="1"/>
    <col min="7290" max="7291" width="9.28515625" bestFit="1" customWidth="1"/>
    <col min="7293" max="7293" width="10.28515625" bestFit="1" customWidth="1"/>
    <col min="7294" max="7295" width="9.28515625" bestFit="1" customWidth="1"/>
    <col min="7297" max="7297" width="10.28515625" bestFit="1" customWidth="1"/>
    <col min="7298" max="7299" width="9.28515625" bestFit="1" customWidth="1"/>
    <col min="7301" max="7301" width="10.28515625" bestFit="1" customWidth="1"/>
    <col min="7302" max="7303" width="9.28515625" bestFit="1" customWidth="1"/>
    <col min="7305" max="7305" width="10.28515625" bestFit="1" customWidth="1"/>
    <col min="7306" max="7307" width="9.28515625" bestFit="1" customWidth="1"/>
    <col min="7309" max="7309" width="10.28515625" bestFit="1" customWidth="1"/>
    <col min="7310" max="7311" width="9.28515625" bestFit="1" customWidth="1"/>
    <col min="7313" max="7313" width="10.28515625" bestFit="1" customWidth="1"/>
    <col min="7314" max="7315" width="9.28515625" bestFit="1" customWidth="1"/>
    <col min="7317" max="7317" width="10.28515625" bestFit="1" customWidth="1"/>
    <col min="7318" max="7319" width="9.28515625" bestFit="1" customWidth="1"/>
    <col min="7321" max="7321" width="10.28515625" bestFit="1" customWidth="1"/>
    <col min="7322" max="7323" width="9.28515625" bestFit="1" customWidth="1"/>
    <col min="7325" max="7325" width="10.28515625" bestFit="1" customWidth="1"/>
    <col min="7326" max="7327" width="9.28515625" bestFit="1" customWidth="1"/>
    <col min="7329" max="7329" width="10.28515625" bestFit="1" customWidth="1"/>
    <col min="7330" max="7331" width="9.28515625" bestFit="1" customWidth="1"/>
    <col min="7333" max="7333" width="10.28515625" bestFit="1" customWidth="1"/>
    <col min="7334" max="7335" width="9.28515625" bestFit="1" customWidth="1"/>
    <col min="7337" max="7337" width="10.28515625" bestFit="1" customWidth="1"/>
    <col min="7338" max="7339" width="9.28515625" bestFit="1" customWidth="1"/>
    <col min="7341" max="7341" width="10.28515625" bestFit="1" customWidth="1"/>
    <col min="7342" max="7343" width="9.28515625" bestFit="1" customWidth="1"/>
    <col min="7345" max="7345" width="10.28515625" bestFit="1" customWidth="1"/>
    <col min="7346" max="7347" width="9.28515625" bestFit="1" customWidth="1"/>
    <col min="7349" max="7349" width="10.28515625" bestFit="1" customWidth="1"/>
    <col min="7350" max="7351" width="9.28515625" bestFit="1" customWidth="1"/>
    <col min="7353" max="7353" width="10.28515625" bestFit="1" customWidth="1"/>
    <col min="7354" max="7355" width="9.28515625" bestFit="1" customWidth="1"/>
    <col min="7357" max="7357" width="10.28515625" bestFit="1" customWidth="1"/>
    <col min="7358" max="7359" width="9.28515625" bestFit="1" customWidth="1"/>
    <col min="7361" max="7361" width="10.28515625" bestFit="1" customWidth="1"/>
    <col min="7362" max="7363" width="9.28515625" bestFit="1" customWidth="1"/>
    <col min="7365" max="7365" width="10.28515625" bestFit="1" customWidth="1"/>
    <col min="7366" max="7367" width="9.28515625" bestFit="1" customWidth="1"/>
    <col min="7369" max="7369" width="10.28515625" bestFit="1" customWidth="1"/>
    <col min="7370" max="7371" width="9.28515625" bestFit="1" customWidth="1"/>
    <col min="7373" max="7373" width="10.28515625" bestFit="1" customWidth="1"/>
    <col min="7374" max="7375" width="9.28515625" bestFit="1" customWidth="1"/>
    <col min="7377" max="7377" width="10.28515625" bestFit="1" customWidth="1"/>
    <col min="7378" max="7379" width="9.28515625" bestFit="1" customWidth="1"/>
    <col min="7381" max="7381" width="10.28515625" bestFit="1" customWidth="1"/>
    <col min="7382" max="7383" width="9.28515625" bestFit="1" customWidth="1"/>
    <col min="7385" max="7385" width="10.28515625" bestFit="1" customWidth="1"/>
    <col min="7386" max="7387" width="9.28515625" bestFit="1" customWidth="1"/>
    <col min="7389" max="7389" width="10.28515625" bestFit="1" customWidth="1"/>
    <col min="7390" max="7391" width="9.28515625" bestFit="1" customWidth="1"/>
    <col min="7393" max="7393" width="10.28515625" bestFit="1" customWidth="1"/>
    <col min="7394" max="7395" width="9.28515625" bestFit="1" customWidth="1"/>
    <col min="7397" max="7397" width="10.28515625" bestFit="1" customWidth="1"/>
    <col min="7398" max="7399" width="9.28515625" bestFit="1" customWidth="1"/>
    <col min="7401" max="7401" width="10.28515625" bestFit="1" customWidth="1"/>
    <col min="7402" max="7403" width="9.28515625" bestFit="1" customWidth="1"/>
    <col min="7405" max="7405" width="10.28515625" bestFit="1" customWidth="1"/>
    <col min="7406" max="7407" width="9.28515625" bestFit="1" customWidth="1"/>
    <col min="7409" max="7409" width="10.28515625" bestFit="1" customWidth="1"/>
    <col min="7410" max="7411" width="9.28515625" bestFit="1" customWidth="1"/>
    <col min="7413" max="7413" width="10.28515625" bestFit="1" customWidth="1"/>
    <col min="7414" max="7415" width="9.28515625" bestFit="1" customWidth="1"/>
    <col min="7417" max="7417" width="10.28515625" bestFit="1" customWidth="1"/>
    <col min="7418" max="7419" width="9.28515625" bestFit="1" customWidth="1"/>
    <col min="7421" max="7421" width="10.28515625" bestFit="1" customWidth="1"/>
    <col min="7422" max="7423" width="9.28515625" bestFit="1" customWidth="1"/>
    <col min="7425" max="7425" width="10.28515625" bestFit="1" customWidth="1"/>
    <col min="7426" max="7427" width="9.28515625" bestFit="1" customWidth="1"/>
    <col min="7429" max="7429" width="10.28515625" bestFit="1" customWidth="1"/>
    <col min="7430" max="7431" width="9.28515625" bestFit="1" customWidth="1"/>
    <col min="7433" max="7433" width="10.28515625" bestFit="1" customWidth="1"/>
    <col min="7434" max="7435" width="9.28515625" bestFit="1" customWidth="1"/>
    <col min="7437" max="7437" width="10.28515625" bestFit="1" customWidth="1"/>
    <col min="7438" max="7439" width="9.28515625" bestFit="1" customWidth="1"/>
    <col min="7441" max="7441" width="10.28515625" bestFit="1" customWidth="1"/>
    <col min="7442" max="7443" width="9.28515625" bestFit="1" customWidth="1"/>
    <col min="7445" max="7445" width="10.28515625" bestFit="1" customWidth="1"/>
    <col min="7446" max="7447" width="9.28515625" bestFit="1" customWidth="1"/>
    <col min="7449" max="7449" width="10.28515625" bestFit="1" customWidth="1"/>
    <col min="7450" max="7451" width="9.28515625" bestFit="1" customWidth="1"/>
    <col min="7453" max="7453" width="10.28515625" bestFit="1" customWidth="1"/>
    <col min="7454" max="7455" width="9.28515625" bestFit="1" customWidth="1"/>
    <col min="7457" max="7457" width="10.28515625" bestFit="1" customWidth="1"/>
    <col min="7458" max="7459" width="9.28515625" bestFit="1" customWidth="1"/>
    <col min="7461" max="7461" width="10.28515625" bestFit="1" customWidth="1"/>
    <col min="7462" max="7463" width="9.28515625" bestFit="1" customWidth="1"/>
    <col min="7465" max="7465" width="10.28515625" bestFit="1" customWidth="1"/>
    <col min="7466" max="7467" width="9.28515625" bestFit="1" customWidth="1"/>
    <col min="7469" max="7469" width="10.28515625" bestFit="1" customWidth="1"/>
    <col min="7470" max="7471" width="9.28515625" bestFit="1" customWidth="1"/>
    <col min="7473" max="7473" width="10.28515625" bestFit="1" customWidth="1"/>
    <col min="7474" max="7475" width="9.28515625" bestFit="1" customWidth="1"/>
    <col min="7477" max="7477" width="10.28515625" bestFit="1" customWidth="1"/>
    <col min="7478" max="7479" width="9.28515625" bestFit="1" customWidth="1"/>
    <col min="7481" max="7481" width="10.28515625" bestFit="1" customWidth="1"/>
    <col min="7482" max="7483" width="9.28515625" bestFit="1" customWidth="1"/>
    <col min="7485" max="7485" width="10.28515625" bestFit="1" customWidth="1"/>
    <col min="7486" max="7487" width="9.28515625" bestFit="1" customWidth="1"/>
    <col min="7489" max="7489" width="10.28515625" bestFit="1" customWidth="1"/>
    <col min="7490" max="7491" width="9.28515625" bestFit="1" customWidth="1"/>
    <col min="7493" max="7493" width="10.28515625" bestFit="1" customWidth="1"/>
    <col min="7494" max="7495" width="9.28515625" bestFit="1" customWidth="1"/>
    <col min="7497" max="7497" width="10.28515625" bestFit="1" customWidth="1"/>
    <col min="7498" max="7499" width="9.28515625" bestFit="1" customWidth="1"/>
    <col min="7501" max="7501" width="10.28515625" bestFit="1" customWidth="1"/>
    <col min="7502" max="7503" width="9.28515625" bestFit="1" customWidth="1"/>
    <col min="7505" max="7505" width="10.28515625" bestFit="1" customWidth="1"/>
    <col min="7506" max="7507" width="9.28515625" bestFit="1" customWidth="1"/>
    <col min="7509" max="7509" width="10.28515625" bestFit="1" customWidth="1"/>
    <col min="7510" max="7511" width="9.28515625" bestFit="1" customWidth="1"/>
    <col min="7513" max="7513" width="10.28515625" bestFit="1" customWidth="1"/>
    <col min="7514" max="7515" width="9.28515625" bestFit="1" customWidth="1"/>
    <col min="7517" max="7517" width="10.28515625" bestFit="1" customWidth="1"/>
    <col min="7518" max="7519" width="9.28515625" bestFit="1" customWidth="1"/>
    <col min="7521" max="7521" width="10.28515625" bestFit="1" customWidth="1"/>
    <col min="7522" max="7523" width="9.28515625" bestFit="1" customWidth="1"/>
    <col min="7525" max="7525" width="10.28515625" bestFit="1" customWidth="1"/>
    <col min="7526" max="7527" width="9.28515625" bestFit="1" customWidth="1"/>
    <col min="7529" max="7529" width="10.28515625" bestFit="1" customWidth="1"/>
    <col min="7530" max="7531" width="9.28515625" bestFit="1" customWidth="1"/>
    <col min="7533" max="7533" width="10.28515625" bestFit="1" customWidth="1"/>
    <col min="7534" max="7535" width="9.28515625" bestFit="1" customWidth="1"/>
    <col min="7537" max="7537" width="10.28515625" bestFit="1" customWidth="1"/>
    <col min="7538" max="7539" width="9.28515625" bestFit="1" customWidth="1"/>
    <col min="7541" max="7541" width="10.28515625" bestFit="1" customWidth="1"/>
    <col min="7542" max="7543" width="9.28515625" bestFit="1" customWidth="1"/>
    <col min="7545" max="7545" width="10.28515625" bestFit="1" customWidth="1"/>
    <col min="7546" max="7547" width="9.28515625" bestFit="1" customWidth="1"/>
    <col min="7549" max="7549" width="10.28515625" bestFit="1" customWidth="1"/>
    <col min="7550" max="7551" width="9.28515625" bestFit="1" customWidth="1"/>
    <col min="7553" max="7553" width="10.28515625" bestFit="1" customWidth="1"/>
    <col min="7554" max="7555" width="9.28515625" bestFit="1" customWidth="1"/>
    <col min="7557" max="7557" width="10.28515625" bestFit="1" customWidth="1"/>
    <col min="7558" max="7559" width="9.28515625" bestFit="1" customWidth="1"/>
    <col min="7561" max="7561" width="10.28515625" bestFit="1" customWidth="1"/>
    <col min="7562" max="7563" width="9.28515625" bestFit="1" customWidth="1"/>
    <col min="7565" max="7565" width="10.28515625" bestFit="1" customWidth="1"/>
    <col min="7566" max="7567" width="9.28515625" bestFit="1" customWidth="1"/>
    <col min="7569" max="7569" width="10.28515625" bestFit="1" customWidth="1"/>
    <col min="7570" max="7571" width="9.28515625" bestFit="1" customWidth="1"/>
    <col min="7573" max="7573" width="10.28515625" bestFit="1" customWidth="1"/>
    <col min="7574" max="7575" width="9.28515625" bestFit="1" customWidth="1"/>
    <col min="7577" max="7577" width="10.28515625" bestFit="1" customWidth="1"/>
    <col min="7578" max="7579" width="9.28515625" bestFit="1" customWidth="1"/>
    <col min="7581" max="7581" width="10.28515625" bestFit="1" customWidth="1"/>
    <col min="7582" max="7583" width="9.28515625" bestFit="1" customWidth="1"/>
    <col min="7585" max="7585" width="10.28515625" bestFit="1" customWidth="1"/>
    <col min="7586" max="7587" width="9.28515625" bestFit="1" customWidth="1"/>
    <col min="7589" max="7589" width="10.28515625" bestFit="1" customWidth="1"/>
    <col min="7590" max="7591" width="9.28515625" bestFit="1" customWidth="1"/>
    <col min="7593" max="7593" width="10.28515625" bestFit="1" customWidth="1"/>
    <col min="7594" max="7595" width="9.28515625" bestFit="1" customWidth="1"/>
    <col min="7597" max="7597" width="10.28515625" bestFit="1" customWidth="1"/>
    <col min="7598" max="7599" width="9.28515625" bestFit="1" customWidth="1"/>
    <col min="7601" max="7601" width="10.28515625" bestFit="1" customWidth="1"/>
    <col min="7602" max="7603" width="9.28515625" bestFit="1" customWidth="1"/>
    <col min="7605" max="7605" width="10.28515625" bestFit="1" customWidth="1"/>
    <col min="7606" max="7607" width="9.28515625" bestFit="1" customWidth="1"/>
    <col min="7609" max="7609" width="10.28515625" bestFit="1" customWidth="1"/>
    <col min="7610" max="7611" width="9.28515625" bestFit="1" customWidth="1"/>
    <col min="7613" max="7613" width="10.28515625" bestFit="1" customWidth="1"/>
    <col min="7614" max="7615" width="9.28515625" bestFit="1" customWidth="1"/>
    <col min="7617" max="7617" width="10.28515625" bestFit="1" customWidth="1"/>
    <col min="7618" max="7619" width="9.28515625" bestFit="1" customWidth="1"/>
    <col min="7621" max="7621" width="10.28515625" bestFit="1" customWidth="1"/>
    <col min="7622" max="7623" width="9.28515625" bestFit="1" customWidth="1"/>
    <col min="7625" max="7625" width="10.28515625" bestFit="1" customWidth="1"/>
    <col min="7626" max="7627" width="9.28515625" bestFit="1" customWidth="1"/>
    <col min="7629" max="7629" width="10.28515625" bestFit="1" customWidth="1"/>
    <col min="7630" max="7631" width="9.28515625" bestFit="1" customWidth="1"/>
    <col min="7633" max="7633" width="10.28515625" bestFit="1" customWidth="1"/>
    <col min="7634" max="7635" width="9.28515625" bestFit="1" customWidth="1"/>
    <col min="7637" max="7637" width="10.28515625" bestFit="1" customWidth="1"/>
    <col min="7638" max="7639" width="9.28515625" bestFit="1" customWidth="1"/>
    <col min="7641" max="7641" width="10.28515625" bestFit="1" customWidth="1"/>
    <col min="7642" max="7643" width="9.28515625" bestFit="1" customWidth="1"/>
    <col min="7645" max="7645" width="10.28515625" bestFit="1" customWidth="1"/>
    <col min="7646" max="7647" width="9.28515625" bestFit="1" customWidth="1"/>
    <col min="7649" max="7649" width="10.28515625" bestFit="1" customWidth="1"/>
    <col min="7650" max="7651" width="9.28515625" bestFit="1" customWidth="1"/>
    <col min="7653" max="7653" width="10.28515625" bestFit="1" customWidth="1"/>
    <col min="7654" max="7655" width="9.28515625" bestFit="1" customWidth="1"/>
    <col min="7657" max="7657" width="10.28515625" bestFit="1" customWidth="1"/>
    <col min="7658" max="7659" width="9.28515625" bestFit="1" customWidth="1"/>
    <col min="7661" max="7661" width="10.28515625" bestFit="1" customWidth="1"/>
    <col min="7662" max="7663" width="9.28515625" bestFit="1" customWidth="1"/>
    <col min="7665" max="7665" width="10.28515625" bestFit="1" customWidth="1"/>
    <col min="7666" max="7667" width="9.28515625" bestFit="1" customWidth="1"/>
    <col min="7669" max="7669" width="10.28515625" bestFit="1" customWidth="1"/>
    <col min="7670" max="7671" width="9.28515625" bestFit="1" customWidth="1"/>
    <col min="7673" max="7673" width="10.28515625" bestFit="1" customWidth="1"/>
    <col min="7674" max="7675" width="9.28515625" bestFit="1" customWidth="1"/>
    <col min="7677" max="7677" width="10.28515625" bestFit="1" customWidth="1"/>
    <col min="7678" max="7679" width="9.28515625" bestFit="1" customWidth="1"/>
    <col min="7681" max="7681" width="10.28515625" bestFit="1" customWidth="1"/>
    <col min="7682" max="7683" width="9.28515625" bestFit="1" customWidth="1"/>
    <col min="7685" max="7685" width="10.28515625" bestFit="1" customWidth="1"/>
    <col min="7686" max="7687" width="9.28515625" bestFit="1" customWidth="1"/>
    <col min="7689" max="7689" width="10.28515625" bestFit="1" customWidth="1"/>
    <col min="7690" max="7691" width="9.28515625" bestFit="1" customWidth="1"/>
    <col min="7693" max="7693" width="10.28515625" bestFit="1" customWidth="1"/>
    <col min="7694" max="7695" width="9.28515625" bestFit="1" customWidth="1"/>
    <col min="7697" max="7697" width="10.28515625" bestFit="1" customWidth="1"/>
    <col min="7698" max="7699" width="9.28515625" bestFit="1" customWidth="1"/>
    <col min="7701" max="7701" width="10.28515625" bestFit="1" customWidth="1"/>
    <col min="7702" max="7703" width="9.28515625" bestFit="1" customWidth="1"/>
    <col min="7705" max="7705" width="10.28515625" bestFit="1" customWidth="1"/>
    <col min="7706" max="7707" width="9.28515625" bestFit="1" customWidth="1"/>
    <col min="7709" max="7709" width="10.28515625" bestFit="1" customWidth="1"/>
    <col min="7710" max="7711" width="9.28515625" bestFit="1" customWidth="1"/>
    <col min="7713" max="7713" width="10.28515625" bestFit="1" customWidth="1"/>
    <col min="7714" max="7715" width="9.28515625" bestFit="1" customWidth="1"/>
    <col min="7717" max="7717" width="10.28515625" bestFit="1" customWidth="1"/>
    <col min="7718" max="7719" width="9.28515625" bestFit="1" customWidth="1"/>
    <col min="7721" max="7721" width="10.28515625" bestFit="1" customWidth="1"/>
    <col min="7722" max="7723" width="9.28515625" bestFit="1" customWidth="1"/>
    <col min="7725" max="7725" width="10.28515625" bestFit="1" customWidth="1"/>
    <col min="7726" max="7727" width="9.28515625" bestFit="1" customWidth="1"/>
    <col min="7729" max="7729" width="10.28515625" bestFit="1" customWidth="1"/>
    <col min="7730" max="7731" width="9.28515625" bestFit="1" customWidth="1"/>
    <col min="7733" max="7733" width="10.28515625" bestFit="1" customWidth="1"/>
    <col min="7734" max="7735" width="9.28515625" bestFit="1" customWidth="1"/>
    <col min="7737" max="7737" width="10.28515625" bestFit="1" customWidth="1"/>
    <col min="7738" max="7739" width="9.28515625" bestFit="1" customWidth="1"/>
    <col min="7741" max="7741" width="10.28515625" bestFit="1" customWidth="1"/>
    <col min="7742" max="7743" width="9.28515625" bestFit="1" customWidth="1"/>
    <col min="7745" max="7745" width="10.28515625" bestFit="1" customWidth="1"/>
    <col min="7746" max="7747" width="9.28515625" bestFit="1" customWidth="1"/>
    <col min="7749" max="7749" width="10.28515625" bestFit="1" customWidth="1"/>
    <col min="7750" max="7751" width="9.28515625" bestFit="1" customWidth="1"/>
    <col min="7753" max="7753" width="10.28515625" bestFit="1" customWidth="1"/>
    <col min="7754" max="7755" width="9.28515625" bestFit="1" customWidth="1"/>
    <col min="7757" max="7757" width="10.28515625" bestFit="1" customWidth="1"/>
    <col min="7758" max="7759" width="9.28515625" bestFit="1" customWidth="1"/>
    <col min="7761" max="7761" width="10.28515625" bestFit="1" customWidth="1"/>
    <col min="7762" max="7763" width="9.28515625" bestFit="1" customWidth="1"/>
    <col min="7765" max="7765" width="10.28515625" bestFit="1" customWidth="1"/>
    <col min="7766" max="7767" width="9.28515625" bestFit="1" customWidth="1"/>
    <col min="7769" max="7769" width="10.28515625" bestFit="1" customWidth="1"/>
    <col min="7770" max="7771" width="9.28515625" bestFit="1" customWidth="1"/>
    <col min="7773" max="7773" width="10.28515625" bestFit="1" customWidth="1"/>
    <col min="7774" max="7775" width="9.28515625" bestFit="1" customWidth="1"/>
    <col min="7777" max="7777" width="10.28515625" bestFit="1" customWidth="1"/>
    <col min="7778" max="7779" width="9.28515625" bestFit="1" customWidth="1"/>
    <col min="7781" max="7781" width="10.28515625" bestFit="1" customWidth="1"/>
    <col min="7782" max="7783" width="9.28515625" bestFit="1" customWidth="1"/>
    <col min="7785" max="7785" width="10.28515625" bestFit="1" customWidth="1"/>
    <col min="7786" max="7787" width="9.28515625" bestFit="1" customWidth="1"/>
    <col min="7789" max="7789" width="10.28515625" bestFit="1" customWidth="1"/>
    <col min="7790" max="7791" width="9.28515625" bestFit="1" customWidth="1"/>
    <col min="7793" max="7793" width="10.28515625" bestFit="1" customWidth="1"/>
    <col min="7794" max="7795" width="9.28515625" bestFit="1" customWidth="1"/>
    <col min="7797" max="7797" width="10.28515625" bestFit="1" customWidth="1"/>
    <col min="7798" max="7799" width="9.28515625" bestFit="1" customWidth="1"/>
    <col min="7801" max="7801" width="10.28515625" bestFit="1" customWidth="1"/>
    <col min="7802" max="7803" width="9.28515625" bestFit="1" customWidth="1"/>
    <col min="7805" max="7805" width="10.28515625" bestFit="1" customWidth="1"/>
    <col min="7806" max="7807" width="9.28515625" bestFit="1" customWidth="1"/>
    <col min="7809" max="7809" width="10.28515625" bestFit="1" customWidth="1"/>
    <col min="7810" max="7811" width="9.28515625" bestFit="1" customWidth="1"/>
    <col min="7813" max="7813" width="10.28515625" bestFit="1" customWidth="1"/>
    <col min="7814" max="7815" width="9.28515625" bestFit="1" customWidth="1"/>
    <col min="7817" max="7817" width="10.28515625" bestFit="1" customWidth="1"/>
    <col min="7818" max="7819" width="9.28515625" bestFit="1" customWidth="1"/>
    <col min="7821" max="7821" width="10.28515625" bestFit="1" customWidth="1"/>
    <col min="7822" max="7823" width="9.28515625" bestFit="1" customWidth="1"/>
    <col min="7825" max="7825" width="10.28515625" bestFit="1" customWidth="1"/>
    <col min="7826" max="7827" width="9.28515625" bestFit="1" customWidth="1"/>
    <col min="7829" max="7829" width="10.28515625" bestFit="1" customWidth="1"/>
    <col min="7830" max="7831" width="9.28515625" bestFit="1" customWidth="1"/>
    <col min="7833" max="7833" width="10.28515625" bestFit="1" customWidth="1"/>
    <col min="7834" max="7835" width="9.28515625" bestFit="1" customWidth="1"/>
    <col min="7837" max="7837" width="10.28515625" bestFit="1" customWidth="1"/>
    <col min="7838" max="7839" width="9.28515625" bestFit="1" customWidth="1"/>
    <col min="7841" max="7841" width="10.28515625" bestFit="1" customWidth="1"/>
    <col min="7842" max="7843" width="9.28515625" bestFit="1" customWidth="1"/>
    <col min="7845" max="7845" width="10.28515625" bestFit="1" customWidth="1"/>
    <col min="7846" max="7847" width="9.28515625" bestFit="1" customWidth="1"/>
    <col min="7849" max="7849" width="10.28515625" bestFit="1" customWidth="1"/>
    <col min="7850" max="7851" width="9.28515625" bestFit="1" customWidth="1"/>
    <col min="7853" max="7853" width="10.28515625" bestFit="1" customWidth="1"/>
    <col min="7854" max="7855" width="9.28515625" bestFit="1" customWidth="1"/>
    <col min="7857" max="7857" width="10.28515625" bestFit="1" customWidth="1"/>
    <col min="7858" max="7859" width="9.28515625" bestFit="1" customWidth="1"/>
    <col min="7861" max="7861" width="10.28515625" bestFit="1" customWidth="1"/>
    <col min="7862" max="7863" width="9.28515625" bestFit="1" customWidth="1"/>
    <col min="7865" max="7865" width="10.28515625" bestFit="1" customWidth="1"/>
    <col min="7866" max="7867" width="9.28515625" bestFit="1" customWidth="1"/>
    <col min="7869" max="7869" width="10.28515625" bestFit="1" customWidth="1"/>
    <col min="7870" max="7871" width="9.28515625" bestFit="1" customWidth="1"/>
    <col min="7873" max="7873" width="10.28515625" bestFit="1" customWidth="1"/>
    <col min="7874" max="7875" width="9.28515625" bestFit="1" customWidth="1"/>
    <col min="7877" max="7877" width="10.28515625" bestFit="1" customWidth="1"/>
    <col min="7878" max="7879" width="9.28515625" bestFit="1" customWidth="1"/>
    <col min="7881" max="7881" width="10.28515625" bestFit="1" customWidth="1"/>
    <col min="7882" max="7883" width="9.28515625" bestFit="1" customWidth="1"/>
    <col min="7885" max="7885" width="10.28515625" bestFit="1" customWidth="1"/>
    <col min="7886" max="7887" width="9.28515625" bestFit="1" customWidth="1"/>
    <col min="7889" max="7889" width="10.28515625" bestFit="1" customWidth="1"/>
    <col min="7890" max="7891" width="9.28515625" bestFit="1" customWidth="1"/>
    <col min="7893" max="7893" width="10.28515625" bestFit="1" customWidth="1"/>
    <col min="7894" max="7895" width="9.28515625" bestFit="1" customWidth="1"/>
    <col min="7897" max="7897" width="10.28515625" bestFit="1" customWidth="1"/>
    <col min="7898" max="7899" width="9.28515625" bestFit="1" customWidth="1"/>
    <col min="7901" max="7901" width="10.28515625" bestFit="1" customWidth="1"/>
    <col min="7902" max="7903" width="9.28515625" bestFit="1" customWidth="1"/>
    <col min="7905" max="7905" width="10.28515625" bestFit="1" customWidth="1"/>
    <col min="7906" max="7907" width="9.28515625" bestFit="1" customWidth="1"/>
    <col min="7909" max="7909" width="10.28515625" bestFit="1" customWidth="1"/>
    <col min="7910" max="7911" width="9.28515625" bestFit="1" customWidth="1"/>
    <col min="7913" max="7913" width="10.28515625" bestFit="1" customWidth="1"/>
    <col min="7914" max="7915" width="9.28515625" bestFit="1" customWidth="1"/>
    <col min="7917" max="7917" width="10.28515625" bestFit="1" customWidth="1"/>
    <col min="7918" max="7919" width="9.28515625" bestFit="1" customWidth="1"/>
    <col min="7921" max="7921" width="10.28515625" bestFit="1" customWidth="1"/>
    <col min="7922" max="7923" width="9.28515625" bestFit="1" customWidth="1"/>
    <col min="7925" max="7925" width="10.28515625" bestFit="1" customWidth="1"/>
    <col min="7926" max="7927" width="9.28515625" bestFit="1" customWidth="1"/>
    <col min="7929" max="7929" width="10.28515625" bestFit="1" customWidth="1"/>
    <col min="7930" max="7931" width="9.28515625" bestFit="1" customWidth="1"/>
    <col min="7933" max="7933" width="10.28515625" bestFit="1" customWidth="1"/>
    <col min="7934" max="7935" width="9.28515625" bestFit="1" customWidth="1"/>
    <col min="7937" max="7937" width="10.28515625" bestFit="1" customWidth="1"/>
    <col min="7938" max="7939" width="9.28515625" bestFit="1" customWidth="1"/>
    <col min="7941" max="7941" width="10.28515625" bestFit="1" customWidth="1"/>
    <col min="7942" max="7943" width="9.28515625" bestFit="1" customWidth="1"/>
    <col min="7945" max="7945" width="10.28515625" bestFit="1" customWidth="1"/>
    <col min="7946" max="7947" width="9.28515625" bestFit="1" customWidth="1"/>
    <col min="7949" max="7949" width="10.28515625" bestFit="1" customWidth="1"/>
    <col min="7950" max="7951" width="9.28515625" bestFit="1" customWidth="1"/>
    <col min="7953" max="7953" width="10.28515625" bestFit="1" customWidth="1"/>
    <col min="7954" max="7955" width="9.28515625" bestFit="1" customWidth="1"/>
    <col min="7957" max="7957" width="10.28515625" bestFit="1" customWidth="1"/>
    <col min="7958" max="7959" width="9.28515625" bestFit="1" customWidth="1"/>
    <col min="7961" max="7961" width="10.28515625" bestFit="1" customWidth="1"/>
    <col min="7962" max="7963" width="9.28515625" bestFit="1" customWidth="1"/>
    <col min="7965" max="7965" width="10.28515625" bestFit="1" customWidth="1"/>
    <col min="7966" max="7967" width="9.28515625" bestFit="1" customWidth="1"/>
    <col min="7969" max="7969" width="10.28515625" bestFit="1" customWidth="1"/>
    <col min="7970" max="7971" width="9.28515625" bestFit="1" customWidth="1"/>
    <col min="7973" max="7973" width="10.28515625" bestFit="1" customWidth="1"/>
    <col min="7974" max="7975" width="9.28515625" bestFit="1" customWidth="1"/>
    <col min="7977" max="7977" width="10.28515625" bestFit="1" customWidth="1"/>
    <col min="7978" max="7979" width="9.28515625" bestFit="1" customWidth="1"/>
    <col min="7981" max="7981" width="10.28515625" bestFit="1" customWidth="1"/>
    <col min="7982" max="7983" width="9.28515625" bestFit="1" customWidth="1"/>
    <col min="7985" max="7985" width="10.28515625" bestFit="1" customWidth="1"/>
    <col min="7986" max="7987" width="9.28515625" bestFit="1" customWidth="1"/>
    <col min="7989" max="7989" width="10.28515625" bestFit="1" customWidth="1"/>
    <col min="7990" max="7991" width="9.28515625" bestFit="1" customWidth="1"/>
    <col min="7993" max="7993" width="10.28515625" bestFit="1" customWidth="1"/>
    <col min="7994" max="7995" width="9.28515625" bestFit="1" customWidth="1"/>
    <col min="7997" max="7997" width="10.28515625" bestFit="1" customWidth="1"/>
    <col min="7998" max="7999" width="9.28515625" bestFit="1" customWidth="1"/>
    <col min="8001" max="8001" width="10.28515625" bestFit="1" customWidth="1"/>
    <col min="8002" max="8003" width="9.28515625" bestFit="1" customWidth="1"/>
    <col min="8005" max="8005" width="10.28515625" bestFit="1" customWidth="1"/>
    <col min="8006" max="8007" width="9.28515625" bestFit="1" customWidth="1"/>
    <col min="8009" max="8009" width="10.28515625" bestFit="1" customWidth="1"/>
    <col min="8010" max="8011" width="9.28515625" bestFit="1" customWidth="1"/>
    <col min="8013" max="8013" width="10.28515625" bestFit="1" customWidth="1"/>
    <col min="8014" max="8015" width="9.28515625" bestFit="1" customWidth="1"/>
    <col min="8017" max="8017" width="10.28515625" bestFit="1" customWidth="1"/>
    <col min="8018" max="8019" width="9.28515625" bestFit="1" customWidth="1"/>
    <col min="8021" max="8021" width="10.28515625" bestFit="1" customWidth="1"/>
    <col min="8022" max="8023" width="9.28515625" bestFit="1" customWidth="1"/>
    <col min="8025" max="8025" width="10.28515625" bestFit="1" customWidth="1"/>
    <col min="8026" max="8027" width="9.28515625" bestFit="1" customWidth="1"/>
    <col min="8029" max="8029" width="10.28515625" bestFit="1" customWidth="1"/>
    <col min="8030" max="8031" width="9.28515625" bestFit="1" customWidth="1"/>
    <col min="8033" max="8033" width="10.28515625" bestFit="1" customWidth="1"/>
    <col min="8034" max="8035" width="9.28515625" bestFit="1" customWidth="1"/>
    <col min="8037" max="8037" width="10.28515625" bestFit="1" customWidth="1"/>
    <col min="8038" max="8039" width="9.28515625" bestFit="1" customWidth="1"/>
    <col min="8041" max="8041" width="10.28515625" bestFit="1" customWidth="1"/>
    <col min="8042" max="8043" width="9.28515625" bestFit="1" customWidth="1"/>
    <col min="8045" max="8045" width="10.28515625" bestFit="1" customWidth="1"/>
    <col min="8046" max="8047" width="9.28515625" bestFit="1" customWidth="1"/>
    <col min="8049" max="8049" width="10.28515625" bestFit="1" customWidth="1"/>
    <col min="8050" max="8051" width="9.28515625" bestFit="1" customWidth="1"/>
    <col min="8053" max="8053" width="10.28515625" bestFit="1" customWidth="1"/>
    <col min="8054" max="8055" width="9.28515625" bestFit="1" customWidth="1"/>
    <col min="8057" max="8057" width="10.28515625" bestFit="1" customWidth="1"/>
    <col min="8058" max="8059" width="9.28515625" bestFit="1" customWidth="1"/>
    <col min="8061" max="8061" width="10.28515625" bestFit="1" customWidth="1"/>
    <col min="8062" max="8063" width="9.28515625" bestFit="1" customWidth="1"/>
    <col min="8065" max="8065" width="10.28515625" bestFit="1" customWidth="1"/>
    <col min="8066" max="8067" width="9.28515625" bestFit="1" customWidth="1"/>
    <col min="8069" max="8069" width="10.28515625" bestFit="1" customWidth="1"/>
    <col min="8070" max="8071" width="9.28515625" bestFit="1" customWidth="1"/>
    <col min="8073" max="8073" width="10.28515625" bestFit="1" customWidth="1"/>
    <col min="8074" max="8075" width="9.28515625" bestFit="1" customWidth="1"/>
    <col min="8077" max="8077" width="10.28515625" bestFit="1" customWidth="1"/>
    <col min="8078" max="8079" width="9.28515625" bestFit="1" customWidth="1"/>
    <col min="8081" max="8081" width="10.28515625" bestFit="1" customWidth="1"/>
    <col min="8082" max="8083" width="9.28515625" bestFit="1" customWidth="1"/>
    <col min="8085" max="8085" width="10.28515625" bestFit="1" customWidth="1"/>
    <col min="8086" max="8087" width="9.28515625" bestFit="1" customWidth="1"/>
    <col min="8089" max="8089" width="10.28515625" bestFit="1" customWidth="1"/>
    <col min="8090" max="8091" width="9.28515625" bestFit="1" customWidth="1"/>
    <col min="8093" max="8093" width="10.28515625" bestFit="1" customWidth="1"/>
    <col min="8094" max="8095" width="9.28515625" bestFit="1" customWidth="1"/>
    <col min="8097" max="8097" width="10.28515625" bestFit="1" customWidth="1"/>
    <col min="8098" max="8099" width="9.28515625" bestFit="1" customWidth="1"/>
    <col min="8101" max="8101" width="10.28515625" bestFit="1" customWidth="1"/>
    <col min="8102" max="8103" width="9.28515625" bestFit="1" customWidth="1"/>
    <col min="8105" max="8105" width="10.28515625" bestFit="1" customWidth="1"/>
    <col min="8106" max="8107" width="9.28515625" bestFit="1" customWidth="1"/>
    <col min="8109" max="8109" width="10.28515625" bestFit="1" customWidth="1"/>
    <col min="8110" max="8111" width="9.28515625" bestFit="1" customWidth="1"/>
    <col min="8113" max="8113" width="10.28515625" bestFit="1" customWidth="1"/>
    <col min="8114" max="8115" width="9.28515625" bestFit="1" customWidth="1"/>
    <col min="8117" max="8117" width="10.28515625" bestFit="1" customWidth="1"/>
    <col min="8118" max="8119" width="9.28515625" bestFit="1" customWidth="1"/>
    <col min="8121" max="8121" width="10.28515625" bestFit="1" customWidth="1"/>
    <col min="8122" max="8123" width="9.28515625" bestFit="1" customWidth="1"/>
    <col min="8125" max="8125" width="10.28515625" bestFit="1" customWidth="1"/>
    <col min="8126" max="8127" width="9.28515625" bestFit="1" customWidth="1"/>
    <col min="8129" max="8129" width="10.28515625" bestFit="1" customWidth="1"/>
    <col min="8130" max="8131" width="9.28515625" bestFit="1" customWidth="1"/>
    <col min="8133" max="8133" width="10.28515625" bestFit="1" customWidth="1"/>
    <col min="8134" max="8135" width="9.28515625" bestFit="1" customWidth="1"/>
    <col min="8137" max="8137" width="10.28515625" bestFit="1" customWidth="1"/>
    <col min="8138" max="8139" width="9.28515625" bestFit="1" customWidth="1"/>
    <col min="8141" max="8141" width="10.28515625" bestFit="1" customWidth="1"/>
    <col min="8142" max="8143" width="9.28515625" bestFit="1" customWidth="1"/>
    <col min="8145" max="8145" width="10.28515625" bestFit="1" customWidth="1"/>
    <col min="8146" max="8147" width="9.28515625" bestFit="1" customWidth="1"/>
    <col min="8149" max="8149" width="10.28515625" bestFit="1" customWidth="1"/>
    <col min="8150" max="8151" width="9.28515625" bestFit="1" customWidth="1"/>
    <col min="8153" max="8153" width="10.28515625" bestFit="1" customWidth="1"/>
    <col min="8154" max="8155" width="9.28515625" bestFit="1" customWidth="1"/>
    <col min="8157" max="8157" width="10.28515625" bestFit="1" customWidth="1"/>
    <col min="8158" max="8159" width="9.28515625" bestFit="1" customWidth="1"/>
    <col min="8161" max="8161" width="10.28515625" bestFit="1" customWidth="1"/>
    <col min="8162" max="8163" width="9.28515625" bestFit="1" customWidth="1"/>
    <col min="8165" max="8165" width="10.28515625" bestFit="1" customWidth="1"/>
    <col min="8166" max="8167" width="9.28515625" bestFit="1" customWidth="1"/>
    <col min="8169" max="8169" width="10.28515625" bestFit="1" customWidth="1"/>
    <col min="8170" max="8171" width="9.28515625" bestFit="1" customWidth="1"/>
    <col min="8173" max="8173" width="10.28515625" bestFit="1" customWidth="1"/>
    <col min="8174" max="8175" width="9.28515625" bestFit="1" customWidth="1"/>
    <col min="8177" max="8177" width="10.28515625" bestFit="1" customWidth="1"/>
    <col min="8178" max="8179" width="9.28515625" bestFit="1" customWidth="1"/>
    <col min="8181" max="8181" width="10.28515625" bestFit="1" customWidth="1"/>
    <col min="8182" max="8183" width="9.28515625" bestFit="1" customWidth="1"/>
    <col min="8185" max="8185" width="10.28515625" bestFit="1" customWidth="1"/>
    <col min="8186" max="8187" width="9.28515625" bestFit="1" customWidth="1"/>
    <col min="8189" max="8189" width="10.28515625" bestFit="1" customWidth="1"/>
    <col min="8190" max="8191" width="9.28515625" bestFit="1" customWidth="1"/>
    <col min="8193" max="8193" width="10.28515625" bestFit="1" customWidth="1"/>
    <col min="8194" max="8195" width="9.28515625" bestFit="1" customWidth="1"/>
    <col min="8197" max="8197" width="10.28515625" bestFit="1" customWidth="1"/>
    <col min="8198" max="8199" width="9.28515625" bestFit="1" customWidth="1"/>
    <col min="8201" max="8201" width="10.28515625" bestFit="1" customWidth="1"/>
    <col min="8202" max="8203" width="9.28515625" bestFit="1" customWidth="1"/>
    <col min="8205" max="8205" width="10.28515625" bestFit="1" customWidth="1"/>
    <col min="8206" max="8207" width="9.28515625" bestFit="1" customWidth="1"/>
    <col min="8209" max="8209" width="10.28515625" bestFit="1" customWidth="1"/>
    <col min="8210" max="8211" width="9.28515625" bestFit="1" customWidth="1"/>
    <col min="8213" max="8213" width="10.28515625" bestFit="1" customWidth="1"/>
    <col min="8214" max="8215" width="9.28515625" bestFit="1" customWidth="1"/>
    <col min="8217" max="8217" width="10.28515625" bestFit="1" customWidth="1"/>
    <col min="8218" max="8219" width="9.28515625" bestFit="1" customWidth="1"/>
    <col min="8221" max="8221" width="10.28515625" bestFit="1" customWidth="1"/>
    <col min="8222" max="8223" width="9.28515625" bestFit="1" customWidth="1"/>
    <col min="8225" max="8225" width="10.28515625" bestFit="1" customWidth="1"/>
    <col min="8226" max="8227" width="9.28515625" bestFit="1" customWidth="1"/>
    <col min="8229" max="8229" width="10.28515625" bestFit="1" customWidth="1"/>
    <col min="8230" max="8231" width="9.28515625" bestFit="1" customWidth="1"/>
    <col min="8233" max="8233" width="10.28515625" bestFit="1" customWidth="1"/>
    <col min="8234" max="8235" width="9.28515625" bestFit="1" customWidth="1"/>
    <col min="8237" max="8237" width="10.28515625" bestFit="1" customWidth="1"/>
    <col min="8238" max="8239" width="9.28515625" bestFit="1" customWidth="1"/>
    <col min="8241" max="8241" width="10.28515625" bestFit="1" customWidth="1"/>
    <col min="8242" max="8243" width="9.28515625" bestFit="1" customWidth="1"/>
    <col min="8245" max="8245" width="10.28515625" bestFit="1" customWidth="1"/>
    <col min="8246" max="8247" width="9.28515625" bestFit="1" customWidth="1"/>
    <col min="8249" max="8249" width="10.28515625" bestFit="1" customWidth="1"/>
    <col min="8250" max="8251" width="9.28515625" bestFit="1" customWidth="1"/>
    <col min="8253" max="8253" width="10.28515625" bestFit="1" customWidth="1"/>
    <col min="8254" max="8255" width="9.28515625" bestFit="1" customWidth="1"/>
    <col min="8257" max="8257" width="10.28515625" bestFit="1" customWidth="1"/>
    <col min="8258" max="8259" width="9.28515625" bestFit="1" customWidth="1"/>
    <col min="8261" max="8261" width="10.28515625" bestFit="1" customWidth="1"/>
    <col min="8262" max="8263" width="9.28515625" bestFit="1" customWidth="1"/>
    <col min="8265" max="8265" width="10.28515625" bestFit="1" customWidth="1"/>
    <col min="8266" max="8267" width="9.28515625" bestFit="1" customWidth="1"/>
    <col min="8269" max="8269" width="10.28515625" bestFit="1" customWidth="1"/>
    <col min="8270" max="8271" width="9.28515625" bestFit="1" customWidth="1"/>
    <col min="8273" max="8273" width="10.28515625" bestFit="1" customWidth="1"/>
    <col min="8274" max="8275" width="9.28515625" bestFit="1" customWidth="1"/>
    <col min="8277" max="8277" width="10.28515625" bestFit="1" customWidth="1"/>
    <col min="8278" max="8279" width="9.28515625" bestFit="1" customWidth="1"/>
    <col min="8281" max="8281" width="10.28515625" bestFit="1" customWidth="1"/>
    <col min="8282" max="8283" width="9.28515625" bestFit="1" customWidth="1"/>
    <col min="8285" max="8285" width="10.28515625" bestFit="1" customWidth="1"/>
    <col min="8286" max="8287" width="9.28515625" bestFit="1" customWidth="1"/>
    <col min="8289" max="8289" width="10.28515625" bestFit="1" customWidth="1"/>
    <col min="8290" max="8291" width="9.28515625" bestFit="1" customWidth="1"/>
    <col min="8293" max="8293" width="10.28515625" bestFit="1" customWidth="1"/>
    <col min="8294" max="8295" width="9.28515625" bestFit="1" customWidth="1"/>
    <col min="8297" max="8297" width="10.28515625" bestFit="1" customWidth="1"/>
    <col min="8298" max="8299" width="9.28515625" bestFit="1" customWidth="1"/>
    <col min="8301" max="8301" width="10.28515625" bestFit="1" customWidth="1"/>
    <col min="8302" max="8303" width="9.28515625" bestFit="1" customWidth="1"/>
    <col min="8305" max="8305" width="10.28515625" bestFit="1" customWidth="1"/>
    <col min="8306" max="8307" width="9.28515625" bestFit="1" customWidth="1"/>
    <col min="8309" max="8309" width="10.28515625" bestFit="1" customWidth="1"/>
    <col min="8310" max="8311" width="9.28515625" bestFit="1" customWidth="1"/>
    <col min="8313" max="8313" width="10.28515625" bestFit="1" customWidth="1"/>
    <col min="8314" max="8315" width="9.28515625" bestFit="1" customWidth="1"/>
    <col min="8317" max="8317" width="10.28515625" bestFit="1" customWidth="1"/>
    <col min="8318" max="8319" width="9.28515625" bestFit="1" customWidth="1"/>
    <col min="8321" max="8321" width="10.28515625" bestFit="1" customWidth="1"/>
    <col min="8322" max="8323" width="9.28515625" bestFit="1" customWidth="1"/>
    <col min="8325" max="8325" width="10.28515625" bestFit="1" customWidth="1"/>
    <col min="8326" max="8327" width="9.28515625" bestFit="1" customWidth="1"/>
    <col min="8329" max="8329" width="10.28515625" bestFit="1" customWidth="1"/>
    <col min="8330" max="8331" width="9.28515625" bestFit="1" customWidth="1"/>
    <col min="8333" max="8333" width="10.28515625" bestFit="1" customWidth="1"/>
    <col min="8334" max="8335" width="9.28515625" bestFit="1" customWidth="1"/>
    <col min="8337" max="8337" width="10.28515625" bestFit="1" customWidth="1"/>
    <col min="8338" max="8339" width="9.28515625" bestFit="1" customWidth="1"/>
    <col min="8341" max="8341" width="10.28515625" bestFit="1" customWidth="1"/>
    <col min="8342" max="8343" width="9.28515625" bestFit="1" customWidth="1"/>
    <col min="8345" max="8345" width="10.28515625" bestFit="1" customWidth="1"/>
    <col min="8346" max="8347" width="9.28515625" bestFit="1" customWidth="1"/>
    <col min="8349" max="8349" width="10.28515625" bestFit="1" customWidth="1"/>
    <col min="8350" max="8351" width="9.28515625" bestFit="1" customWidth="1"/>
    <col min="8353" max="8353" width="10.28515625" bestFit="1" customWidth="1"/>
    <col min="8354" max="8355" width="9.28515625" bestFit="1" customWidth="1"/>
    <col min="8357" max="8357" width="10.28515625" bestFit="1" customWidth="1"/>
    <col min="8358" max="8359" width="9.28515625" bestFit="1" customWidth="1"/>
    <col min="8361" max="8361" width="10.28515625" bestFit="1" customWidth="1"/>
    <col min="8362" max="8363" width="9.28515625" bestFit="1" customWidth="1"/>
    <col min="8365" max="8365" width="10.28515625" bestFit="1" customWidth="1"/>
    <col min="8366" max="8367" width="9.28515625" bestFit="1" customWidth="1"/>
    <col min="8369" max="8369" width="10.28515625" bestFit="1" customWidth="1"/>
    <col min="8370" max="8371" width="9.28515625" bestFit="1" customWidth="1"/>
    <col min="8373" max="8373" width="10.28515625" bestFit="1" customWidth="1"/>
    <col min="8374" max="8375" width="9.28515625" bestFit="1" customWidth="1"/>
    <col min="8377" max="8377" width="10.28515625" bestFit="1" customWidth="1"/>
    <col min="8378" max="8379" width="9.28515625" bestFit="1" customWidth="1"/>
    <col min="8381" max="8381" width="10.28515625" bestFit="1" customWidth="1"/>
    <col min="8382" max="8383" width="9.28515625" bestFit="1" customWidth="1"/>
    <col min="8385" max="8385" width="10.28515625" bestFit="1" customWidth="1"/>
    <col min="8386" max="8387" width="9.28515625" bestFit="1" customWidth="1"/>
    <col min="8389" max="8389" width="10.28515625" bestFit="1" customWidth="1"/>
    <col min="8390" max="8391" width="9.28515625" bestFit="1" customWidth="1"/>
    <col min="8393" max="8393" width="10.28515625" bestFit="1" customWidth="1"/>
    <col min="8394" max="8395" width="9.28515625" bestFit="1" customWidth="1"/>
    <col min="8397" max="8397" width="10.28515625" bestFit="1" customWidth="1"/>
    <col min="8398" max="8399" width="9.28515625" bestFit="1" customWidth="1"/>
    <col min="8401" max="8401" width="10.28515625" bestFit="1" customWidth="1"/>
    <col min="8402" max="8403" width="9.28515625" bestFit="1" customWidth="1"/>
    <col min="8405" max="8405" width="10.28515625" bestFit="1" customWidth="1"/>
    <col min="8406" max="8407" width="9.28515625" bestFit="1" customWidth="1"/>
    <col min="8409" max="8409" width="10.28515625" bestFit="1" customWidth="1"/>
    <col min="8410" max="8411" width="9.28515625" bestFit="1" customWidth="1"/>
    <col min="8413" max="8413" width="10.28515625" bestFit="1" customWidth="1"/>
    <col min="8414" max="8415" width="9.28515625" bestFit="1" customWidth="1"/>
    <col min="8417" max="8417" width="10.28515625" bestFit="1" customWidth="1"/>
    <col min="8418" max="8419" width="9.28515625" bestFit="1" customWidth="1"/>
    <col min="8421" max="8421" width="10.28515625" bestFit="1" customWidth="1"/>
    <col min="8422" max="8423" width="9.28515625" bestFit="1" customWidth="1"/>
    <col min="8425" max="8425" width="10.28515625" bestFit="1" customWidth="1"/>
    <col min="8426" max="8427" width="9.28515625" bestFit="1" customWidth="1"/>
    <col min="8429" max="8429" width="10.28515625" bestFit="1" customWidth="1"/>
    <col min="8430" max="8431" width="9.28515625" bestFit="1" customWidth="1"/>
    <col min="8433" max="8433" width="10.28515625" bestFit="1" customWidth="1"/>
    <col min="8434" max="8435" width="9.28515625" bestFit="1" customWidth="1"/>
    <col min="8437" max="8437" width="10.28515625" bestFit="1" customWidth="1"/>
    <col min="8438" max="8439" width="9.28515625" bestFit="1" customWidth="1"/>
    <col min="8441" max="8441" width="10.28515625" bestFit="1" customWidth="1"/>
    <col min="8442" max="8443" width="9.28515625" bestFit="1" customWidth="1"/>
    <col min="8445" max="8445" width="10.28515625" bestFit="1" customWidth="1"/>
    <col min="8446" max="8447" width="9.28515625" bestFit="1" customWidth="1"/>
    <col min="8449" max="8449" width="10.28515625" bestFit="1" customWidth="1"/>
    <col min="8450" max="8451" width="9.28515625" bestFit="1" customWidth="1"/>
    <col min="8453" max="8453" width="10.28515625" bestFit="1" customWidth="1"/>
    <col min="8454" max="8455" width="9.28515625" bestFit="1" customWidth="1"/>
    <col min="8457" max="8457" width="10.28515625" bestFit="1" customWidth="1"/>
    <col min="8458" max="8459" width="9.28515625" bestFit="1" customWidth="1"/>
    <col min="8461" max="8461" width="10.28515625" bestFit="1" customWidth="1"/>
    <col min="8462" max="8463" width="9.28515625" bestFit="1" customWidth="1"/>
    <col min="8465" max="8465" width="10.28515625" bestFit="1" customWidth="1"/>
    <col min="8466" max="8467" width="9.28515625" bestFit="1" customWidth="1"/>
    <col min="8469" max="8469" width="10.28515625" bestFit="1" customWidth="1"/>
    <col min="8470" max="8471" width="9.28515625" bestFit="1" customWidth="1"/>
    <col min="8473" max="8473" width="10.28515625" bestFit="1" customWidth="1"/>
    <col min="8474" max="8475" width="9.28515625" bestFit="1" customWidth="1"/>
    <col min="8477" max="8477" width="10.28515625" bestFit="1" customWidth="1"/>
    <col min="8478" max="8479" width="9.28515625" bestFit="1" customWidth="1"/>
    <col min="8481" max="8481" width="10.28515625" bestFit="1" customWidth="1"/>
    <col min="8482" max="8483" width="9.28515625" bestFit="1" customWidth="1"/>
    <col min="8485" max="8485" width="10.28515625" bestFit="1" customWidth="1"/>
    <col min="8486" max="8487" width="9.28515625" bestFit="1" customWidth="1"/>
    <col min="8489" max="8489" width="10.28515625" bestFit="1" customWidth="1"/>
    <col min="8490" max="8491" width="9.28515625" bestFit="1" customWidth="1"/>
    <col min="8493" max="8493" width="10.28515625" bestFit="1" customWidth="1"/>
    <col min="8494" max="8495" width="9.28515625" bestFit="1" customWidth="1"/>
    <col min="8497" max="8497" width="10.28515625" bestFit="1" customWidth="1"/>
    <col min="8498" max="8499" width="9.28515625" bestFit="1" customWidth="1"/>
    <col min="8501" max="8501" width="10.28515625" bestFit="1" customWidth="1"/>
    <col min="8502" max="8503" width="9.28515625" bestFit="1" customWidth="1"/>
    <col min="8505" max="8505" width="10.28515625" bestFit="1" customWidth="1"/>
    <col min="8506" max="8507" width="9.28515625" bestFit="1" customWidth="1"/>
    <col min="8509" max="8509" width="10.28515625" bestFit="1" customWidth="1"/>
    <col min="8510" max="8511" width="9.28515625" bestFit="1" customWidth="1"/>
    <col min="8513" max="8513" width="10.28515625" bestFit="1" customWidth="1"/>
    <col min="8514" max="8515" width="9.28515625" bestFit="1" customWidth="1"/>
    <col min="8517" max="8517" width="10.28515625" bestFit="1" customWidth="1"/>
    <col min="8518" max="8519" width="9.28515625" bestFit="1" customWidth="1"/>
    <col min="8521" max="8521" width="10.28515625" bestFit="1" customWidth="1"/>
    <col min="8522" max="8523" width="9.28515625" bestFit="1" customWidth="1"/>
    <col min="8525" max="8525" width="10.28515625" bestFit="1" customWidth="1"/>
    <col min="8526" max="8527" width="9.28515625" bestFit="1" customWidth="1"/>
    <col min="8529" max="8529" width="10.28515625" bestFit="1" customWidth="1"/>
    <col min="8530" max="8531" width="9.28515625" bestFit="1" customWidth="1"/>
    <col min="8533" max="8533" width="10.28515625" bestFit="1" customWidth="1"/>
    <col min="8534" max="8535" width="9.28515625" bestFit="1" customWidth="1"/>
    <col min="8537" max="8537" width="10.28515625" bestFit="1" customWidth="1"/>
    <col min="8538" max="8539" width="9.28515625" bestFit="1" customWidth="1"/>
    <col min="8541" max="8541" width="10.28515625" bestFit="1" customWidth="1"/>
    <col min="8542" max="8543" width="9.28515625" bestFit="1" customWidth="1"/>
    <col min="8545" max="8545" width="10.28515625" bestFit="1" customWidth="1"/>
    <col min="8546" max="8547" width="9.28515625" bestFit="1" customWidth="1"/>
    <col min="8549" max="8549" width="10.28515625" bestFit="1" customWidth="1"/>
    <col min="8550" max="8551" width="9.28515625" bestFit="1" customWidth="1"/>
    <col min="8553" max="8553" width="10.28515625" bestFit="1" customWidth="1"/>
    <col min="8554" max="8555" width="9.28515625" bestFit="1" customWidth="1"/>
    <col min="8557" max="8557" width="10.28515625" bestFit="1" customWidth="1"/>
    <col min="8558" max="8559" width="9.28515625" bestFit="1" customWidth="1"/>
    <col min="8561" max="8561" width="10.28515625" bestFit="1" customWidth="1"/>
    <col min="8562" max="8563" width="9.28515625" bestFit="1" customWidth="1"/>
    <col min="8565" max="8565" width="10.28515625" bestFit="1" customWidth="1"/>
    <col min="8566" max="8567" width="9.28515625" bestFit="1" customWidth="1"/>
    <col min="8569" max="8569" width="10.28515625" bestFit="1" customWidth="1"/>
    <col min="8570" max="8571" width="9.28515625" bestFit="1" customWidth="1"/>
    <col min="8573" max="8573" width="10.28515625" bestFit="1" customWidth="1"/>
    <col min="8574" max="8575" width="9.28515625" bestFit="1" customWidth="1"/>
    <col min="8577" max="8577" width="10.28515625" bestFit="1" customWidth="1"/>
    <col min="8578" max="8579" width="9.28515625" bestFit="1" customWidth="1"/>
    <col min="8581" max="8581" width="10.28515625" bestFit="1" customWidth="1"/>
    <col min="8582" max="8583" width="9.28515625" bestFit="1" customWidth="1"/>
    <col min="8585" max="8585" width="10.28515625" bestFit="1" customWidth="1"/>
    <col min="8586" max="8587" width="9.28515625" bestFit="1" customWidth="1"/>
    <col min="8589" max="8589" width="10.28515625" bestFit="1" customWidth="1"/>
    <col min="8590" max="8591" width="9.28515625" bestFit="1" customWidth="1"/>
    <col min="8593" max="8593" width="10.28515625" bestFit="1" customWidth="1"/>
    <col min="8594" max="8595" width="9.28515625" bestFit="1" customWidth="1"/>
    <col min="8597" max="8597" width="10.28515625" bestFit="1" customWidth="1"/>
    <col min="8598" max="8599" width="9.28515625" bestFit="1" customWidth="1"/>
    <col min="8601" max="8601" width="10.28515625" bestFit="1" customWidth="1"/>
    <col min="8602" max="8603" width="9.28515625" bestFit="1" customWidth="1"/>
    <col min="8605" max="8605" width="10.28515625" bestFit="1" customWidth="1"/>
    <col min="8606" max="8607" width="9.28515625" bestFit="1" customWidth="1"/>
    <col min="8609" max="8609" width="10.28515625" bestFit="1" customWidth="1"/>
    <col min="8610" max="8611" width="9.28515625" bestFit="1" customWidth="1"/>
    <col min="8613" max="8613" width="10.28515625" bestFit="1" customWidth="1"/>
    <col min="8614" max="8615" width="9.28515625" bestFit="1" customWidth="1"/>
    <col min="8617" max="8617" width="10.28515625" bestFit="1" customWidth="1"/>
    <col min="8618" max="8619" width="9.28515625" bestFit="1" customWidth="1"/>
    <col min="8621" max="8621" width="10.28515625" bestFit="1" customWidth="1"/>
    <col min="8622" max="8623" width="9.28515625" bestFit="1" customWidth="1"/>
    <col min="8625" max="8625" width="10.28515625" bestFit="1" customWidth="1"/>
    <col min="8626" max="8627" width="9.28515625" bestFit="1" customWidth="1"/>
    <col min="8629" max="8629" width="10.28515625" bestFit="1" customWidth="1"/>
    <col min="8630" max="8631" width="9.28515625" bestFit="1" customWidth="1"/>
    <col min="8633" max="8633" width="10.28515625" bestFit="1" customWidth="1"/>
    <col min="8634" max="8635" width="9.28515625" bestFit="1" customWidth="1"/>
    <col min="8637" max="8637" width="10.28515625" bestFit="1" customWidth="1"/>
    <col min="8638" max="8639" width="9.28515625" bestFit="1" customWidth="1"/>
    <col min="8641" max="8641" width="10.28515625" bestFit="1" customWidth="1"/>
    <col min="8642" max="8643" width="9.28515625" bestFit="1" customWidth="1"/>
    <col min="8645" max="8645" width="10.28515625" bestFit="1" customWidth="1"/>
    <col min="8646" max="8647" width="9.28515625" bestFit="1" customWidth="1"/>
    <col min="8649" max="8649" width="10.28515625" bestFit="1" customWidth="1"/>
    <col min="8650" max="8651" width="9.28515625" bestFit="1" customWidth="1"/>
    <col min="8653" max="8653" width="10.28515625" bestFit="1" customWidth="1"/>
    <col min="8654" max="8655" width="9.28515625" bestFit="1" customWidth="1"/>
    <col min="8657" max="8657" width="10.28515625" bestFit="1" customWidth="1"/>
    <col min="8658" max="8659" width="9.28515625" bestFit="1" customWidth="1"/>
    <col min="8661" max="8661" width="10.28515625" bestFit="1" customWidth="1"/>
    <col min="8662" max="8663" width="9.28515625" bestFit="1" customWidth="1"/>
    <col min="8665" max="8665" width="10.28515625" bestFit="1" customWidth="1"/>
    <col min="8666" max="8667" width="9.28515625" bestFit="1" customWidth="1"/>
    <col min="8669" max="8669" width="10.28515625" bestFit="1" customWidth="1"/>
    <col min="8670" max="8671" width="9.28515625" bestFit="1" customWidth="1"/>
    <col min="8673" max="8673" width="10.28515625" bestFit="1" customWidth="1"/>
    <col min="8674" max="8675" width="9.28515625" bestFit="1" customWidth="1"/>
    <col min="8677" max="8677" width="10.28515625" bestFit="1" customWidth="1"/>
    <col min="8678" max="8679" width="9.28515625" bestFit="1" customWidth="1"/>
    <col min="8681" max="8681" width="10.28515625" bestFit="1" customWidth="1"/>
    <col min="8682" max="8683" width="9.28515625" bestFit="1" customWidth="1"/>
    <col min="8685" max="8685" width="10.28515625" bestFit="1" customWidth="1"/>
    <col min="8686" max="8687" width="9.28515625" bestFit="1" customWidth="1"/>
    <col min="8689" max="8689" width="10.28515625" bestFit="1" customWidth="1"/>
    <col min="8690" max="8691" width="9.28515625" bestFit="1" customWidth="1"/>
    <col min="8693" max="8693" width="10.28515625" bestFit="1" customWidth="1"/>
    <col min="8694" max="8695" width="9.28515625" bestFit="1" customWidth="1"/>
    <col min="8697" max="8697" width="10.28515625" bestFit="1" customWidth="1"/>
    <col min="8698" max="8699" width="9.28515625" bestFit="1" customWidth="1"/>
    <col min="8701" max="8701" width="10.28515625" bestFit="1" customWidth="1"/>
    <col min="8702" max="8703" width="9.28515625" bestFit="1" customWidth="1"/>
    <col min="8705" max="8705" width="10.28515625" bestFit="1" customWidth="1"/>
    <col min="8706" max="8707" width="9.28515625" bestFit="1" customWidth="1"/>
    <col min="8709" max="8709" width="10.28515625" bestFit="1" customWidth="1"/>
    <col min="8710" max="8711" width="9.28515625" bestFit="1" customWidth="1"/>
    <col min="8713" max="8713" width="10.28515625" bestFit="1" customWidth="1"/>
    <col min="8714" max="8715" width="9.28515625" bestFit="1" customWidth="1"/>
    <col min="8717" max="8717" width="10.28515625" bestFit="1" customWidth="1"/>
    <col min="8718" max="8719" width="9.28515625" bestFit="1" customWidth="1"/>
    <col min="8721" max="8721" width="10.28515625" bestFit="1" customWidth="1"/>
    <col min="8722" max="8723" width="9.28515625" bestFit="1" customWidth="1"/>
    <col min="8725" max="8725" width="10.28515625" bestFit="1" customWidth="1"/>
    <col min="8726" max="8727" width="9.28515625" bestFit="1" customWidth="1"/>
    <col min="8729" max="8729" width="10.28515625" bestFit="1" customWidth="1"/>
    <col min="8730" max="8731" width="9.28515625" bestFit="1" customWidth="1"/>
    <col min="8733" max="8733" width="10.28515625" bestFit="1" customWidth="1"/>
    <col min="8734" max="8735" width="9.28515625" bestFit="1" customWidth="1"/>
    <col min="8737" max="8737" width="10.28515625" bestFit="1" customWidth="1"/>
    <col min="8738" max="8739" width="9.28515625" bestFit="1" customWidth="1"/>
    <col min="8741" max="8741" width="10.28515625" bestFit="1" customWidth="1"/>
    <col min="8742" max="8743" width="9.28515625" bestFit="1" customWidth="1"/>
    <col min="8745" max="8745" width="10.28515625" bestFit="1" customWidth="1"/>
    <col min="8746" max="8747" width="9.28515625" bestFit="1" customWidth="1"/>
    <col min="8749" max="8749" width="10.28515625" bestFit="1" customWidth="1"/>
    <col min="8750" max="8751" width="9.28515625" bestFit="1" customWidth="1"/>
    <col min="8753" max="8753" width="10.28515625" bestFit="1" customWidth="1"/>
    <col min="8754" max="8755" width="9.28515625" bestFit="1" customWidth="1"/>
    <col min="8757" max="8757" width="10.28515625" bestFit="1" customWidth="1"/>
    <col min="8758" max="8759" width="9.28515625" bestFit="1" customWidth="1"/>
    <col min="8761" max="8761" width="10.28515625" bestFit="1" customWidth="1"/>
    <col min="8762" max="8763" width="9.28515625" bestFit="1" customWidth="1"/>
    <col min="8765" max="8765" width="10.28515625" bestFit="1" customWidth="1"/>
    <col min="8766" max="8767" width="9.28515625" bestFit="1" customWidth="1"/>
    <col min="8769" max="8769" width="10.28515625" bestFit="1" customWidth="1"/>
    <col min="8770" max="8771" width="9.28515625" bestFit="1" customWidth="1"/>
    <col min="8773" max="8773" width="10.28515625" bestFit="1" customWidth="1"/>
    <col min="8774" max="8775" width="9.28515625" bestFit="1" customWidth="1"/>
    <col min="8777" max="8777" width="10.28515625" bestFit="1" customWidth="1"/>
    <col min="8778" max="8779" width="9.28515625" bestFit="1" customWidth="1"/>
    <col min="8781" max="8781" width="10.28515625" bestFit="1" customWidth="1"/>
    <col min="8782" max="8783" width="9.28515625" bestFit="1" customWidth="1"/>
    <col min="8785" max="8785" width="10.28515625" bestFit="1" customWidth="1"/>
    <col min="8786" max="8787" width="9.28515625" bestFit="1" customWidth="1"/>
    <col min="8789" max="8789" width="10.28515625" bestFit="1" customWidth="1"/>
    <col min="8790" max="8791" width="9.28515625" bestFit="1" customWidth="1"/>
    <col min="8793" max="8793" width="10.28515625" bestFit="1" customWidth="1"/>
    <col min="8794" max="8795" width="9.28515625" bestFit="1" customWidth="1"/>
    <col min="8797" max="8797" width="10.28515625" bestFit="1" customWidth="1"/>
    <col min="8798" max="8799" width="9.28515625" bestFit="1" customWidth="1"/>
    <col min="8801" max="8801" width="10.28515625" bestFit="1" customWidth="1"/>
    <col min="8802" max="8803" width="9.28515625" bestFit="1" customWidth="1"/>
    <col min="8805" max="8805" width="10.28515625" bestFit="1" customWidth="1"/>
    <col min="8806" max="8807" width="9.28515625" bestFit="1" customWidth="1"/>
    <col min="8809" max="8809" width="10.28515625" bestFit="1" customWidth="1"/>
    <col min="8810" max="8811" width="9.28515625" bestFit="1" customWidth="1"/>
    <col min="8813" max="8813" width="10.28515625" bestFit="1" customWidth="1"/>
    <col min="8814" max="8815" width="9.28515625" bestFit="1" customWidth="1"/>
    <col min="8817" max="8817" width="10.28515625" bestFit="1" customWidth="1"/>
    <col min="8818" max="8819" width="9.28515625" bestFit="1" customWidth="1"/>
    <col min="8821" max="8821" width="10.28515625" bestFit="1" customWidth="1"/>
    <col min="8822" max="8823" width="9.28515625" bestFit="1" customWidth="1"/>
    <col min="8825" max="8825" width="10.28515625" bestFit="1" customWidth="1"/>
    <col min="8826" max="8827" width="9.28515625" bestFit="1" customWidth="1"/>
    <col min="8829" max="8829" width="10.28515625" bestFit="1" customWidth="1"/>
    <col min="8830" max="8831" width="9.28515625" bestFit="1" customWidth="1"/>
    <col min="8833" max="8833" width="10.28515625" bestFit="1" customWidth="1"/>
    <col min="8834" max="8835" width="9.28515625" bestFit="1" customWidth="1"/>
    <col min="8837" max="8837" width="10.28515625" bestFit="1" customWidth="1"/>
    <col min="8838" max="8839" width="9.28515625" bestFit="1" customWidth="1"/>
    <col min="8841" max="8841" width="10.28515625" bestFit="1" customWidth="1"/>
    <col min="8842" max="8843" width="9.28515625" bestFit="1" customWidth="1"/>
    <col min="8845" max="8845" width="10.28515625" bestFit="1" customWidth="1"/>
    <col min="8846" max="8847" width="9.28515625" bestFit="1" customWidth="1"/>
    <col min="8849" max="8849" width="10.28515625" bestFit="1" customWidth="1"/>
    <col min="8850" max="8851" width="9.28515625" bestFit="1" customWidth="1"/>
    <col min="8853" max="8853" width="10.28515625" bestFit="1" customWidth="1"/>
    <col min="8854" max="8855" width="9.28515625" bestFit="1" customWidth="1"/>
    <col min="8857" max="8857" width="10.28515625" bestFit="1" customWidth="1"/>
    <col min="8858" max="8859" width="9.28515625" bestFit="1" customWidth="1"/>
    <col min="8861" max="8861" width="10.28515625" bestFit="1" customWidth="1"/>
    <col min="8862" max="8863" width="9.28515625" bestFit="1" customWidth="1"/>
    <col min="8865" max="8865" width="10.28515625" bestFit="1" customWidth="1"/>
    <col min="8866" max="8867" width="9.28515625" bestFit="1" customWidth="1"/>
    <col min="8869" max="8869" width="10.28515625" bestFit="1" customWidth="1"/>
    <col min="8870" max="8871" width="9.28515625" bestFit="1" customWidth="1"/>
    <col min="8873" max="8873" width="10.28515625" bestFit="1" customWidth="1"/>
    <col min="8874" max="8875" width="9.28515625" bestFit="1" customWidth="1"/>
    <col min="8877" max="8877" width="10.28515625" bestFit="1" customWidth="1"/>
    <col min="8878" max="8879" width="9.28515625" bestFit="1" customWidth="1"/>
    <col min="8881" max="8881" width="10.28515625" bestFit="1" customWidth="1"/>
    <col min="8882" max="8883" width="9.28515625" bestFit="1" customWidth="1"/>
    <col min="8885" max="8885" width="10.28515625" bestFit="1" customWidth="1"/>
    <col min="8886" max="8887" width="9.28515625" bestFit="1" customWidth="1"/>
    <col min="8889" max="8889" width="10.28515625" bestFit="1" customWidth="1"/>
    <col min="8890" max="8891" width="9.28515625" bestFit="1" customWidth="1"/>
    <col min="8893" max="8893" width="10.28515625" bestFit="1" customWidth="1"/>
    <col min="8894" max="8895" width="9.28515625" bestFit="1" customWidth="1"/>
    <col min="8897" max="8897" width="10.28515625" bestFit="1" customWidth="1"/>
    <col min="8898" max="8899" width="9.28515625" bestFit="1" customWidth="1"/>
    <col min="8901" max="8901" width="10.28515625" bestFit="1" customWidth="1"/>
    <col min="8902" max="8903" width="9.28515625" bestFit="1" customWidth="1"/>
    <col min="8905" max="8905" width="10.28515625" bestFit="1" customWidth="1"/>
    <col min="8906" max="8907" width="9.28515625" bestFit="1" customWidth="1"/>
    <col min="8909" max="8909" width="10.28515625" bestFit="1" customWidth="1"/>
    <col min="8910" max="8911" width="9.28515625" bestFit="1" customWidth="1"/>
    <col min="8913" max="8913" width="10.28515625" bestFit="1" customWidth="1"/>
    <col min="8914" max="8915" width="9.28515625" bestFit="1" customWidth="1"/>
    <col min="8917" max="8917" width="10.28515625" bestFit="1" customWidth="1"/>
    <col min="8918" max="8919" width="9.28515625" bestFit="1" customWidth="1"/>
    <col min="8921" max="8921" width="10.28515625" bestFit="1" customWidth="1"/>
    <col min="8922" max="8923" width="9.28515625" bestFit="1" customWidth="1"/>
    <col min="8925" max="8925" width="10.28515625" bestFit="1" customWidth="1"/>
    <col min="8926" max="8927" width="9.28515625" bestFit="1" customWidth="1"/>
    <col min="8929" max="8929" width="10.28515625" bestFit="1" customWidth="1"/>
    <col min="8930" max="8931" width="9.28515625" bestFit="1" customWidth="1"/>
    <col min="8933" max="8933" width="10.28515625" bestFit="1" customWidth="1"/>
    <col min="8934" max="8935" width="9.28515625" bestFit="1" customWidth="1"/>
    <col min="8937" max="8937" width="10.28515625" bestFit="1" customWidth="1"/>
    <col min="8938" max="8939" width="9.28515625" bestFit="1" customWidth="1"/>
    <col min="8941" max="8941" width="10.28515625" bestFit="1" customWidth="1"/>
    <col min="8942" max="8943" width="9.28515625" bestFit="1" customWidth="1"/>
    <col min="8945" max="8945" width="10.28515625" bestFit="1" customWidth="1"/>
    <col min="8946" max="8947" width="9.28515625" bestFit="1" customWidth="1"/>
    <col min="8949" max="8949" width="10.28515625" bestFit="1" customWidth="1"/>
    <col min="8950" max="8951" width="9.28515625" bestFit="1" customWidth="1"/>
    <col min="8953" max="8953" width="10.28515625" bestFit="1" customWidth="1"/>
    <col min="8954" max="8955" width="9.28515625" bestFit="1" customWidth="1"/>
    <col min="8957" max="8957" width="10.28515625" bestFit="1" customWidth="1"/>
    <col min="8958" max="8959" width="9.28515625" bestFit="1" customWidth="1"/>
    <col min="8961" max="8961" width="10.28515625" bestFit="1" customWidth="1"/>
    <col min="8962" max="8963" width="9.28515625" bestFit="1" customWidth="1"/>
    <col min="8965" max="8965" width="10.28515625" bestFit="1" customWidth="1"/>
    <col min="8966" max="8967" width="9.28515625" bestFit="1" customWidth="1"/>
    <col min="8969" max="8969" width="10.28515625" bestFit="1" customWidth="1"/>
    <col min="8970" max="8971" width="9.28515625" bestFit="1" customWidth="1"/>
    <col min="8973" max="8973" width="10.28515625" bestFit="1" customWidth="1"/>
    <col min="8974" max="8975" width="9.28515625" bestFit="1" customWidth="1"/>
    <col min="8977" max="8977" width="10.28515625" bestFit="1" customWidth="1"/>
    <col min="8978" max="8979" width="9.28515625" bestFit="1" customWidth="1"/>
    <col min="8981" max="8981" width="10.28515625" bestFit="1" customWidth="1"/>
    <col min="8982" max="8983" width="9.28515625" bestFit="1" customWidth="1"/>
    <col min="8985" max="8985" width="10.28515625" bestFit="1" customWidth="1"/>
    <col min="8986" max="8987" width="9.28515625" bestFit="1" customWidth="1"/>
    <col min="8989" max="8989" width="10.28515625" bestFit="1" customWidth="1"/>
    <col min="8990" max="8991" width="9.28515625" bestFit="1" customWidth="1"/>
    <col min="8993" max="8993" width="10.28515625" bestFit="1" customWidth="1"/>
    <col min="8994" max="8995" width="9.28515625" bestFit="1" customWidth="1"/>
    <col min="8997" max="8997" width="10.28515625" bestFit="1" customWidth="1"/>
    <col min="8998" max="8999" width="9.28515625" bestFit="1" customWidth="1"/>
    <col min="9001" max="9001" width="10.28515625" bestFit="1" customWidth="1"/>
    <col min="9002" max="9003" width="9.28515625" bestFit="1" customWidth="1"/>
    <col min="9005" max="9005" width="10.28515625" bestFit="1" customWidth="1"/>
    <col min="9006" max="9007" width="9.28515625" bestFit="1" customWidth="1"/>
    <col min="9009" max="9009" width="10.28515625" bestFit="1" customWidth="1"/>
    <col min="9010" max="9011" width="9.28515625" bestFit="1" customWidth="1"/>
    <col min="9013" max="9013" width="10.28515625" bestFit="1" customWidth="1"/>
    <col min="9014" max="9015" width="9.28515625" bestFit="1" customWidth="1"/>
    <col min="9017" max="9017" width="10.28515625" bestFit="1" customWidth="1"/>
    <col min="9018" max="9019" width="9.28515625" bestFit="1" customWidth="1"/>
    <col min="9021" max="9021" width="10.28515625" bestFit="1" customWidth="1"/>
    <col min="9022" max="9023" width="9.28515625" bestFit="1" customWidth="1"/>
    <col min="9025" max="9025" width="10.28515625" bestFit="1" customWidth="1"/>
    <col min="9026" max="9027" width="9.28515625" bestFit="1" customWidth="1"/>
    <col min="9029" max="9029" width="10.28515625" bestFit="1" customWidth="1"/>
    <col min="9030" max="9031" width="9.28515625" bestFit="1" customWidth="1"/>
    <col min="9033" max="9033" width="10.28515625" bestFit="1" customWidth="1"/>
    <col min="9034" max="9035" width="9.28515625" bestFit="1" customWidth="1"/>
    <col min="9037" max="9037" width="10.28515625" bestFit="1" customWidth="1"/>
    <col min="9038" max="9039" width="9.28515625" bestFit="1" customWidth="1"/>
    <col min="9041" max="9041" width="10.28515625" bestFit="1" customWidth="1"/>
    <col min="9042" max="9043" width="9.28515625" bestFit="1" customWidth="1"/>
    <col min="9045" max="9045" width="10.28515625" bestFit="1" customWidth="1"/>
    <col min="9046" max="9047" width="9.28515625" bestFit="1" customWidth="1"/>
    <col min="9049" max="9049" width="10.28515625" bestFit="1" customWidth="1"/>
    <col min="9050" max="9051" width="9.28515625" bestFit="1" customWidth="1"/>
    <col min="9053" max="9053" width="10.28515625" bestFit="1" customWidth="1"/>
    <col min="9054" max="9055" width="9.28515625" bestFit="1" customWidth="1"/>
    <col min="9057" max="9057" width="10.28515625" bestFit="1" customWidth="1"/>
    <col min="9058" max="9059" width="9.28515625" bestFit="1" customWidth="1"/>
    <col min="9061" max="9061" width="10.28515625" bestFit="1" customWidth="1"/>
    <col min="9062" max="9063" width="9.28515625" bestFit="1" customWidth="1"/>
    <col min="9065" max="9065" width="10.28515625" bestFit="1" customWidth="1"/>
    <col min="9066" max="9067" width="9.28515625" bestFit="1" customWidth="1"/>
    <col min="9069" max="9069" width="10.28515625" bestFit="1" customWidth="1"/>
    <col min="9070" max="9071" width="9.28515625" bestFit="1" customWidth="1"/>
    <col min="9073" max="9073" width="10.28515625" bestFit="1" customWidth="1"/>
    <col min="9074" max="9075" width="9.28515625" bestFit="1" customWidth="1"/>
    <col min="9077" max="9077" width="10.28515625" bestFit="1" customWidth="1"/>
    <col min="9078" max="9079" width="9.28515625" bestFit="1" customWidth="1"/>
    <col min="9081" max="9081" width="10.28515625" bestFit="1" customWidth="1"/>
    <col min="9082" max="9083" width="9.28515625" bestFit="1" customWidth="1"/>
    <col min="9085" max="9085" width="10.28515625" bestFit="1" customWidth="1"/>
    <col min="9086" max="9087" width="9.28515625" bestFit="1" customWidth="1"/>
    <col min="9089" max="9089" width="10.28515625" bestFit="1" customWidth="1"/>
    <col min="9090" max="9091" width="9.28515625" bestFit="1" customWidth="1"/>
    <col min="9093" max="9093" width="10.28515625" bestFit="1" customWidth="1"/>
    <col min="9094" max="9095" width="9.28515625" bestFit="1" customWidth="1"/>
    <col min="9097" max="9097" width="10.28515625" bestFit="1" customWidth="1"/>
    <col min="9098" max="9099" width="9.28515625" bestFit="1" customWidth="1"/>
    <col min="9101" max="9101" width="10.28515625" bestFit="1" customWidth="1"/>
    <col min="9102" max="9103" width="9.28515625" bestFit="1" customWidth="1"/>
    <col min="9105" max="9105" width="10.28515625" bestFit="1" customWidth="1"/>
    <col min="9106" max="9107" width="9.28515625" bestFit="1" customWidth="1"/>
    <col min="9109" max="9109" width="10.28515625" bestFit="1" customWidth="1"/>
    <col min="9110" max="9111" width="9.28515625" bestFit="1" customWidth="1"/>
    <col min="9113" max="9113" width="10.28515625" bestFit="1" customWidth="1"/>
    <col min="9114" max="9115" width="9.28515625" bestFit="1" customWidth="1"/>
    <col min="9117" max="9117" width="10.28515625" bestFit="1" customWidth="1"/>
    <col min="9118" max="9119" width="9.28515625" bestFit="1" customWidth="1"/>
    <col min="9121" max="9121" width="10.28515625" bestFit="1" customWidth="1"/>
    <col min="9122" max="9123" width="9.28515625" bestFit="1" customWidth="1"/>
    <col min="9125" max="9125" width="10.28515625" bestFit="1" customWidth="1"/>
    <col min="9126" max="9127" width="9.28515625" bestFit="1" customWidth="1"/>
    <col min="9129" max="9129" width="10.28515625" bestFit="1" customWidth="1"/>
    <col min="9130" max="9131" width="9.28515625" bestFit="1" customWidth="1"/>
    <col min="9133" max="9133" width="10.28515625" bestFit="1" customWidth="1"/>
    <col min="9134" max="9135" width="9.28515625" bestFit="1" customWidth="1"/>
    <col min="9137" max="9137" width="10.28515625" bestFit="1" customWidth="1"/>
    <col min="9138" max="9139" width="9.28515625" bestFit="1" customWidth="1"/>
    <col min="9141" max="9141" width="10.28515625" bestFit="1" customWidth="1"/>
    <col min="9142" max="9143" width="9.28515625" bestFit="1" customWidth="1"/>
    <col min="9145" max="9145" width="10.28515625" bestFit="1" customWidth="1"/>
    <col min="9146" max="9147" width="9.28515625" bestFit="1" customWidth="1"/>
    <col min="9149" max="9149" width="10.28515625" bestFit="1" customWidth="1"/>
    <col min="9150" max="9151" width="9.28515625" bestFit="1" customWidth="1"/>
    <col min="9153" max="9153" width="10.28515625" bestFit="1" customWidth="1"/>
    <col min="9154" max="9155" width="9.28515625" bestFit="1" customWidth="1"/>
    <col min="9157" max="9157" width="10.28515625" bestFit="1" customWidth="1"/>
    <col min="9158" max="9159" width="9.28515625" bestFit="1" customWidth="1"/>
    <col min="9161" max="9161" width="10.28515625" bestFit="1" customWidth="1"/>
    <col min="9162" max="9163" width="9.28515625" bestFit="1" customWidth="1"/>
    <col min="9165" max="9165" width="10.28515625" bestFit="1" customWidth="1"/>
    <col min="9166" max="9167" width="9.28515625" bestFit="1" customWidth="1"/>
    <col min="9169" max="9169" width="10.28515625" bestFit="1" customWidth="1"/>
    <col min="9170" max="9171" width="9.28515625" bestFit="1" customWidth="1"/>
    <col min="9173" max="9173" width="10.28515625" bestFit="1" customWidth="1"/>
    <col min="9174" max="9175" width="9.28515625" bestFit="1" customWidth="1"/>
    <col min="9177" max="9177" width="10.28515625" bestFit="1" customWidth="1"/>
    <col min="9178" max="9179" width="9.28515625" bestFit="1" customWidth="1"/>
    <col min="9181" max="9181" width="10.28515625" bestFit="1" customWidth="1"/>
    <col min="9182" max="9183" width="9.28515625" bestFit="1" customWidth="1"/>
    <col min="9185" max="9185" width="10.28515625" bestFit="1" customWidth="1"/>
    <col min="9186" max="9187" width="9.28515625" bestFit="1" customWidth="1"/>
    <col min="9189" max="9189" width="10.28515625" bestFit="1" customWidth="1"/>
    <col min="9190" max="9191" width="9.28515625" bestFit="1" customWidth="1"/>
    <col min="9193" max="9193" width="10.28515625" bestFit="1" customWidth="1"/>
    <col min="9194" max="9195" width="9.28515625" bestFit="1" customWidth="1"/>
    <col min="9197" max="9197" width="10.28515625" bestFit="1" customWidth="1"/>
    <col min="9198" max="9199" width="9.28515625" bestFit="1" customWidth="1"/>
    <col min="9201" max="9201" width="10.28515625" bestFit="1" customWidth="1"/>
    <col min="9202" max="9203" width="9.28515625" bestFit="1" customWidth="1"/>
    <col min="9205" max="9205" width="10.28515625" bestFit="1" customWidth="1"/>
    <col min="9206" max="9207" width="9.28515625" bestFit="1" customWidth="1"/>
    <col min="9209" max="9209" width="10.28515625" bestFit="1" customWidth="1"/>
    <col min="9210" max="9211" width="9.28515625" bestFit="1" customWidth="1"/>
    <col min="9213" max="9213" width="10.28515625" bestFit="1" customWidth="1"/>
    <col min="9214" max="9215" width="9.28515625" bestFit="1" customWidth="1"/>
    <col min="9217" max="9217" width="10.28515625" bestFit="1" customWidth="1"/>
    <col min="9218" max="9219" width="9.28515625" bestFit="1" customWidth="1"/>
    <col min="9221" max="9221" width="10.28515625" bestFit="1" customWidth="1"/>
    <col min="9222" max="9223" width="9.28515625" bestFit="1" customWidth="1"/>
    <col min="9225" max="9225" width="10.28515625" bestFit="1" customWidth="1"/>
    <col min="9226" max="9227" width="9.28515625" bestFit="1" customWidth="1"/>
    <col min="9229" max="9229" width="10.28515625" bestFit="1" customWidth="1"/>
    <col min="9230" max="9231" width="9.28515625" bestFit="1" customWidth="1"/>
    <col min="9233" max="9233" width="10.28515625" bestFit="1" customWidth="1"/>
    <col min="9234" max="9235" width="9.28515625" bestFit="1" customWidth="1"/>
    <col min="9237" max="9237" width="10.28515625" bestFit="1" customWidth="1"/>
    <col min="9238" max="9239" width="9.28515625" bestFit="1" customWidth="1"/>
    <col min="9241" max="9241" width="10.28515625" bestFit="1" customWidth="1"/>
    <col min="9242" max="9243" width="9.28515625" bestFit="1" customWidth="1"/>
    <col min="9245" max="9245" width="10.28515625" bestFit="1" customWidth="1"/>
    <col min="9246" max="9247" width="9.28515625" bestFit="1" customWidth="1"/>
    <col min="9249" max="9249" width="10.28515625" bestFit="1" customWidth="1"/>
    <col min="9250" max="9251" width="9.28515625" bestFit="1" customWidth="1"/>
    <col min="9253" max="9253" width="10.28515625" bestFit="1" customWidth="1"/>
    <col min="9254" max="9255" width="9.28515625" bestFit="1" customWidth="1"/>
    <col min="9257" max="9257" width="10.28515625" bestFit="1" customWidth="1"/>
    <col min="9258" max="9259" width="9.28515625" bestFit="1" customWidth="1"/>
    <col min="9261" max="9261" width="10.28515625" bestFit="1" customWidth="1"/>
    <col min="9262" max="9263" width="9.28515625" bestFit="1" customWidth="1"/>
    <col min="9265" max="9265" width="10.28515625" bestFit="1" customWidth="1"/>
    <col min="9266" max="9267" width="9.28515625" bestFit="1" customWidth="1"/>
    <col min="9269" max="9269" width="10.28515625" bestFit="1" customWidth="1"/>
    <col min="9270" max="9271" width="9.28515625" bestFit="1" customWidth="1"/>
    <col min="9273" max="9273" width="10.28515625" bestFit="1" customWidth="1"/>
    <col min="9274" max="9275" width="9.28515625" bestFit="1" customWidth="1"/>
    <col min="9277" max="9277" width="10.28515625" bestFit="1" customWidth="1"/>
    <col min="9278" max="9279" width="9.28515625" bestFit="1" customWidth="1"/>
    <col min="9281" max="9281" width="10.28515625" bestFit="1" customWidth="1"/>
    <col min="9282" max="9283" width="9.28515625" bestFit="1" customWidth="1"/>
    <col min="9285" max="9285" width="10.28515625" bestFit="1" customWidth="1"/>
    <col min="9286" max="9287" width="9.28515625" bestFit="1" customWidth="1"/>
    <col min="9289" max="9289" width="10.28515625" bestFit="1" customWidth="1"/>
    <col min="9290" max="9291" width="9.28515625" bestFit="1" customWidth="1"/>
    <col min="9293" max="9293" width="10.28515625" bestFit="1" customWidth="1"/>
    <col min="9294" max="9295" width="9.28515625" bestFit="1" customWidth="1"/>
    <col min="9297" max="9297" width="10.28515625" bestFit="1" customWidth="1"/>
    <col min="9298" max="9299" width="9.28515625" bestFit="1" customWidth="1"/>
    <col min="9301" max="9301" width="10.28515625" bestFit="1" customWidth="1"/>
    <col min="9302" max="9303" width="9.28515625" bestFit="1" customWidth="1"/>
    <col min="9305" max="9305" width="10.28515625" bestFit="1" customWidth="1"/>
    <col min="9306" max="9307" width="9.28515625" bestFit="1" customWidth="1"/>
    <col min="9309" max="9309" width="10.28515625" bestFit="1" customWidth="1"/>
    <col min="9310" max="9311" width="9.28515625" bestFit="1" customWidth="1"/>
    <col min="9313" max="9313" width="10.28515625" bestFit="1" customWidth="1"/>
    <col min="9314" max="9315" width="9.28515625" bestFit="1" customWidth="1"/>
    <col min="9317" max="9317" width="10.28515625" bestFit="1" customWidth="1"/>
    <col min="9318" max="9319" width="9.28515625" bestFit="1" customWidth="1"/>
    <col min="9321" max="9321" width="10.28515625" bestFit="1" customWidth="1"/>
    <col min="9322" max="9323" width="9.28515625" bestFit="1" customWidth="1"/>
    <col min="9325" max="9325" width="10.28515625" bestFit="1" customWidth="1"/>
    <col min="9326" max="9327" width="9.28515625" bestFit="1" customWidth="1"/>
    <col min="9329" max="9329" width="10.28515625" bestFit="1" customWidth="1"/>
    <col min="9330" max="9331" width="9.28515625" bestFit="1" customWidth="1"/>
    <col min="9333" max="9333" width="10.28515625" bestFit="1" customWidth="1"/>
    <col min="9334" max="9335" width="9.28515625" bestFit="1" customWidth="1"/>
    <col min="9337" max="9337" width="10.28515625" bestFit="1" customWidth="1"/>
    <col min="9338" max="9339" width="9.28515625" bestFit="1" customWidth="1"/>
    <col min="9341" max="9341" width="10.28515625" bestFit="1" customWidth="1"/>
    <col min="9342" max="9343" width="9.28515625" bestFit="1" customWidth="1"/>
    <col min="9345" max="9345" width="10.28515625" bestFit="1" customWidth="1"/>
    <col min="9346" max="9347" width="9.28515625" bestFit="1" customWidth="1"/>
    <col min="9349" max="9349" width="10.28515625" bestFit="1" customWidth="1"/>
    <col min="9350" max="9351" width="9.28515625" bestFit="1" customWidth="1"/>
    <col min="9353" max="9353" width="10.28515625" bestFit="1" customWidth="1"/>
    <col min="9354" max="9355" width="9.28515625" bestFit="1" customWidth="1"/>
    <col min="9357" max="9357" width="10.28515625" bestFit="1" customWidth="1"/>
    <col min="9358" max="9359" width="9.28515625" bestFit="1" customWidth="1"/>
    <col min="9361" max="9361" width="10.28515625" bestFit="1" customWidth="1"/>
    <col min="9362" max="9363" width="9.28515625" bestFit="1" customWidth="1"/>
    <col min="9365" max="9365" width="10.28515625" bestFit="1" customWidth="1"/>
    <col min="9366" max="9367" width="9.28515625" bestFit="1" customWidth="1"/>
    <col min="9369" max="9369" width="10.28515625" bestFit="1" customWidth="1"/>
    <col min="9370" max="9371" width="9.28515625" bestFit="1" customWidth="1"/>
    <col min="9373" max="9373" width="10.28515625" bestFit="1" customWidth="1"/>
    <col min="9374" max="9375" width="9.28515625" bestFit="1" customWidth="1"/>
    <col min="9377" max="9377" width="10.28515625" bestFit="1" customWidth="1"/>
    <col min="9378" max="9379" width="9.28515625" bestFit="1" customWidth="1"/>
    <col min="9381" max="9381" width="10.28515625" bestFit="1" customWidth="1"/>
    <col min="9382" max="9383" width="9.28515625" bestFit="1" customWidth="1"/>
    <col min="9385" max="9385" width="10.28515625" bestFit="1" customWidth="1"/>
    <col min="9386" max="9387" width="9.28515625" bestFit="1" customWidth="1"/>
    <col min="9389" max="9389" width="10.28515625" bestFit="1" customWidth="1"/>
    <col min="9390" max="9391" width="9.28515625" bestFit="1" customWidth="1"/>
    <col min="9393" max="9393" width="10.28515625" bestFit="1" customWidth="1"/>
    <col min="9394" max="9395" width="9.28515625" bestFit="1" customWidth="1"/>
    <col min="9397" max="9397" width="10.28515625" bestFit="1" customWidth="1"/>
    <col min="9398" max="9399" width="9.28515625" bestFit="1" customWidth="1"/>
    <col min="9401" max="9401" width="10.28515625" bestFit="1" customWidth="1"/>
    <col min="9402" max="9403" width="9.28515625" bestFit="1" customWidth="1"/>
    <col min="9405" max="9405" width="10.28515625" bestFit="1" customWidth="1"/>
    <col min="9406" max="9407" width="9.28515625" bestFit="1" customWidth="1"/>
    <col min="9409" max="9409" width="10.28515625" bestFit="1" customWidth="1"/>
    <col min="9410" max="9411" width="9.28515625" bestFit="1" customWidth="1"/>
    <col min="9413" max="9413" width="10.28515625" bestFit="1" customWidth="1"/>
    <col min="9414" max="9415" width="9.28515625" bestFit="1" customWidth="1"/>
    <col min="9417" max="9417" width="10.28515625" bestFit="1" customWidth="1"/>
    <col min="9418" max="9419" width="9.28515625" bestFit="1" customWidth="1"/>
    <col min="9421" max="9421" width="10.28515625" bestFit="1" customWidth="1"/>
    <col min="9422" max="9423" width="9.28515625" bestFit="1" customWidth="1"/>
    <col min="9425" max="9425" width="10.28515625" bestFit="1" customWidth="1"/>
    <col min="9426" max="9427" width="9.28515625" bestFit="1" customWidth="1"/>
    <col min="9429" max="9429" width="10.28515625" bestFit="1" customWidth="1"/>
    <col min="9430" max="9431" width="9.28515625" bestFit="1" customWidth="1"/>
    <col min="9433" max="9433" width="10.28515625" bestFit="1" customWidth="1"/>
    <col min="9434" max="9435" width="9.28515625" bestFit="1" customWidth="1"/>
    <col min="9437" max="9437" width="10.28515625" bestFit="1" customWidth="1"/>
    <col min="9438" max="9439" width="9.28515625" bestFit="1" customWidth="1"/>
    <col min="9441" max="9441" width="10.28515625" bestFit="1" customWidth="1"/>
    <col min="9442" max="9443" width="9.28515625" bestFit="1" customWidth="1"/>
    <col min="9445" max="9445" width="10.28515625" bestFit="1" customWidth="1"/>
    <col min="9446" max="9447" width="9.28515625" bestFit="1" customWidth="1"/>
    <col min="9449" max="9449" width="10.28515625" bestFit="1" customWidth="1"/>
    <col min="9450" max="9451" width="9.28515625" bestFit="1" customWidth="1"/>
    <col min="9453" max="9453" width="10.28515625" bestFit="1" customWidth="1"/>
    <col min="9454" max="9455" width="9.28515625" bestFit="1" customWidth="1"/>
    <col min="9457" max="9457" width="10.28515625" bestFit="1" customWidth="1"/>
    <col min="9458" max="9459" width="9.28515625" bestFit="1" customWidth="1"/>
    <col min="9461" max="9461" width="10.28515625" bestFit="1" customWidth="1"/>
    <col min="9462" max="9463" width="9.28515625" bestFit="1" customWidth="1"/>
    <col min="9465" max="9465" width="10.28515625" bestFit="1" customWidth="1"/>
    <col min="9466" max="9467" width="9.28515625" bestFit="1" customWidth="1"/>
    <col min="9469" max="9469" width="10.28515625" bestFit="1" customWidth="1"/>
    <col min="9470" max="9471" width="9.28515625" bestFit="1" customWidth="1"/>
    <col min="9473" max="9473" width="10.28515625" bestFit="1" customWidth="1"/>
    <col min="9474" max="9475" width="9.28515625" bestFit="1" customWidth="1"/>
    <col min="9477" max="9477" width="10.28515625" bestFit="1" customWidth="1"/>
    <col min="9478" max="9479" width="9.28515625" bestFit="1" customWidth="1"/>
    <col min="9481" max="9481" width="10.28515625" bestFit="1" customWidth="1"/>
    <col min="9482" max="9483" width="9.28515625" bestFit="1" customWidth="1"/>
    <col min="9485" max="9485" width="10.28515625" bestFit="1" customWidth="1"/>
    <col min="9486" max="9487" width="9.28515625" bestFit="1" customWidth="1"/>
    <col min="9489" max="9489" width="10.28515625" bestFit="1" customWidth="1"/>
    <col min="9490" max="9491" width="9.28515625" bestFit="1" customWidth="1"/>
    <col min="9493" max="9493" width="10.28515625" bestFit="1" customWidth="1"/>
    <col min="9494" max="9495" width="9.28515625" bestFit="1" customWidth="1"/>
    <col min="9497" max="9497" width="10.28515625" bestFit="1" customWidth="1"/>
    <col min="9498" max="9499" width="9.28515625" bestFit="1" customWidth="1"/>
    <col min="9501" max="9501" width="10.28515625" bestFit="1" customWidth="1"/>
    <col min="9502" max="9503" width="9.28515625" bestFit="1" customWidth="1"/>
    <col min="9505" max="9505" width="10.28515625" bestFit="1" customWidth="1"/>
    <col min="9506" max="9507" width="9.28515625" bestFit="1" customWidth="1"/>
    <col min="9509" max="9509" width="10.28515625" bestFit="1" customWidth="1"/>
    <col min="9510" max="9511" width="9.28515625" bestFit="1" customWidth="1"/>
    <col min="9513" max="9513" width="10.28515625" bestFit="1" customWidth="1"/>
    <col min="9514" max="9515" width="9.28515625" bestFit="1" customWidth="1"/>
    <col min="9517" max="9517" width="10.28515625" bestFit="1" customWidth="1"/>
    <col min="9518" max="9519" width="9.28515625" bestFit="1" customWidth="1"/>
    <col min="9521" max="9521" width="10.28515625" bestFit="1" customWidth="1"/>
    <col min="9522" max="9523" width="9.28515625" bestFit="1" customWidth="1"/>
    <col min="9525" max="9525" width="10.28515625" bestFit="1" customWidth="1"/>
    <col min="9526" max="9527" width="9.28515625" bestFit="1" customWidth="1"/>
    <col min="9529" max="9529" width="10.28515625" bestFit="1" customWidth="1"/>
    <col min="9530" max="9531" width="9.28515625" bestFit="1" customWidth="1"/>
    <col min="9533" max="9533" width="10.28515625" bestFit="1" customWidth="1"/>
    <col min="9534" max="9535" width="9.28515625" bestFit="1" customWidth="1"/>
    <col min="9537" max="9537" width="10.28515625" bestFit="1" customWidth="1"/>
    <col min="9538" max="9539" width="9.28515625" bestFit="1" customWidth="1"/>
    <col min="9541" max="9541" width="10.28515625" bestFit="1" customWidth="1"/>
    <col min="9542" max="9543" width="9.28515625" bestFit="1" customWidth="1"/>
    <col min="9545" max="9545" width="10.28515625" bestFit="1" customWidth="1"/>
    <col min="9546" max="9547" width="9.28515625" bestFit="1" customWidth="1"/>
    <col min="9549" max="9549" width="10.28515625" bestFit="1" customWidth="1"/>
    <col min="9550" max="9551" width="9.28515625" bestFit="1" customWidth="1"/>
    <col min="9553" max="9553" width="10.28515625" bestFit="1" customWidth="1"/>
    <col min="9554" max="9555" width="9.28515625" bestFit="1" customWidth="1"/>
    <col min="9557" max="9557" width="10.28515625" bestFit="1" customWidth="1"/>
    <col min="9558" max="9559" width="9.28515625" bestFit="1" customWidth="1"/>
    <col min="9561" max="9561" width="10.28515625" bestFit="1" customWidth="1"/>
    <col min="9562" max="9563" width="9.28515625" bestFit="1" customWidth="1"/>
    <col min="9565" max="9565" width="10.28515625" bestFit="1" customWidth="1"/>
    <col min="9566" max="9567" width="9.28515625" bestFit="1" customWidth="1"/>
    <col min="9569" max="9569" width="10.28515625" bestFit="1" customWidth="1"/>
    <col min="9570" max="9571" width="9.28515625" bestFit="1" customWidth="1"/>
    <col min="9573" max="9573" width="10.28515625" bestFit="1" customWidth="1"/>
    <col min="9574" max="9575" width="9.28515625" bestFit="1" customWidth="1"/>
    <col min="9577" max="9577" width="10.28515625" bestFit="1" customWidth="1"/>
    <col min="9578" max="9579" width="9.28515625" bestFit="1" customWidth="1"/>
    <col min="9581" max="9581" width="10.28515625" bestFit="1" customWidth="1"/>
    <col min="9582" max="9583" width="9.28515625" bestFit="1" customWidth="1"/>
    <col min="9585" max="9585" width="10.28515625" bestFit="1" customWidth="1"/>
    <col min="9586" max="9587" width="9.28515625" bestFit="1" customWidth="1"/>
    <col min="9589" max="9589" width="10.28515625" bestFit="1" customWidth="1"/>
    <col min="9590" max="9591" width="9.28515625" bestFit="1" customWidth="1"/>
    <col min="9593" max="9593" width="10.28515625" bestFit="1" customWidth="1"/>
    <col min="9594" max="9595" width="9.28515625" bestFit="1" customWidth="1"/>
    <col min="9597" max="9597" width="10.28515625" bestFit="1" customWidth="1"/>
    <col min="9598" max="9599" width="9.28515625" bestFit="1" customWidth="1"/>
    <col min="9601" max="9601" width="10.28515625" bestFit="1" customWidth="1"/>
    <col min="9602" max="9603" width="9.28515625" bestFit="1" customWidth="1"/>
    <col min="9605" max="9605" width="10.28515625" bestFit="1" customWidth="1"/>
    <col min="9606" max="9607" width="9.28515625" bestFit="1" customWidth="1"/>
    <col min="9609" max="9609" width="10.28515625" bestFit="1" customWidth="1"/>
    <col min="9610" max="9611" width="9.28515625" bestFit="1" customWidth="1"/>
    <col min="9613" max="9613" width="10.28515625" bestFit="1" customWidth="1"/>
    <col min="9614" max="9615" width="9.28515625" bestFit="1" customWidth="1"/>
    <col min="9617" max="9617" width="10.28515625" bestFit="1" customWidth="1"/>
    <col min="9618" max="9619" width="9.28515625" bestFit="1" customWidth="1"/>
    <col min="9621" max="9621" width="10.28515625" bestFit="1" customWidth="1"/>
    <col min="9622" max="9623" width="9.28515625" bestFit="1" customWidth="1"/>
    <col min="9625" max="9625" width="10.28515625" bestFit="1" customWidth="1"/>
    <col min="9626" max="9627" width="9.28515625" bestFit="1" customWidth="1"/>
    <col min="9629" max="9629" width="10.28515625" bestFit="1" customWidth="1"/>
    <col min="9630" max="9631" width="9.28515625" bestFit="1" customWidth="1"/>
    <col min="9633" max="9633" width="10.28515625" bestFit="1" customWidth="1"/>
    <col min="9634" max="9635" width="9.28515625" bestFit="1" customWidth="1"/>
    <col min="9637" max="9637" width="10.28515625" bestFit="1" customWidth="1"/>
    <col min="9638" max="9639" width="9.28515625" bestFit="1" customWidth="1"/>
    <col min="9641" max="9641" width="10.28515625" bestFit="1" customWidth="1"/>
    <col min="9642" max="9643" width="9.28515625" bestFit="1" customWidth="1"/>
    <col min="9645" max="9645" width="10.28515625" bestFit="1" customWidth="1"/>
    <col min="9646" max="9647" width="9.28515625" bestFit="1" customWidth="1"/>
    <col min="9649" max="9649" width="10.28515625" bestFit="1" customWidth="1"/>
    <col min="9650" max="9651" width="9.28515625" bestFit="1" customWidth="1"/>
    <col min="9653" max="9653" width="10.28515625" bestFit="1" customWidth="1"/>
    <col min="9654" max="9655" width="9.28515625" bestFit="1" customWidth="1"/>
    <col min="9657" max="9657" width="10.28515625" bestFit="1" customWidth="1"/>
    <col min="9658" max="9659" width="9.28515625" bestFit="1" customWidth="1"/>
    <col min="9661" max="9661" width="10.28515625" bestFit="1" customWidth="1"/>
    <col min="9662" max="9663" width="9.28515625" bestFit="1" customWidth="1"/>
    <col min="9665" max="9665" width="10.28515625" bestFit="1" customWidth="1"/>
    <col min="9666" max="9667" width="9.28515625" bestFit="1" customWidth="1"/>
    <col min="9669" max="9669" width="10.28515625" bestFit="1" customWidth="1"/>
    <col min="9670" max="9671" width="9.28515625" bestFit="1" customWidth="1"/>
    <col min="9673" max="9673" width="10.28515625" bestFit="1" customWidth="1"/>
    <col min="9674" max="9675" width="9.28515625" bestFit="1" customWidth="1"/>
    <col min="9677" max="9677" width="10.28515625" bestFit="1" customWidth="1"/>
    <col min="9678" max="9679" width="9.28515625" bestFit="1" customWidth="1"/>
    <col min="9681" max="9681" width="10.28515625" bestFit="1" customWidth="1"/>
    <col min="9682" max="9683" width="9.28515625" bestFit="1" customWidth="1"/>
    <col min="9685" max="9685" width="10.28515625" bestFit="1" customWidth="1"/>
    <col min="9686" max="9687" width="9.28515625" bestFit="1" customWidth="1"/>
    <col min="9689" max="9689" width="10.28515625" bestFit="1" customWidth="1"/>
    <col min="9690" max="9691" width="9.28515625" bestFit="1" customWidth="1"/>
    <col min="9693" max="9693" width="10.28515625" bestFit="1" customWidth="1"/>
    <col min="9694" max="9695" width="9.28515625" bestFit="1" customWidth="1"/>
    <col min="9697" max="9697" width="10.28515625" bestFit="1" customWidth="1"/>
    <col min="9698" max="9699" width="9.28515625" bestFit="1" customWidth="1"/>
    <col min="9701" max="9701" width="10.28515625" bestFit="1" customWidth="1"/>
    <col min="9702" max="9703" width="9.28515625" bestFit="1" customWidth="1"/>
    <col min="9705" max="9705" width="10.28515625" bestFit="1" customWidth="1"/>
    <col min="9706" max="9707" width="9.28515625" bestFit="1" customWidth="1"/>
    <col min="9709" max="9709" width="10.28515625" bestFit="1" customWidth="1"/>
    <col min="9710" max="9711" width="9.28515625" bestFit="1" customWidth="1"/>
    <col min="9713" max="9713" width="10.28515625" bestFit="1" customWidth="1"/>
    <col min="9714" max="9715" width="9.28515625" bestFit="1" customWidth="1"/>
    <col min="9717" max="9717" width="10.28515625" bestFit="1" customWidth="1"/>
    <col min="9718" max="9719" width="9.28515625" bestFit="1" customWidth="1"/>
    <col min="9721" max="9721" width="10.28515625" bestFit="1" customWidth="1"/>
    <col min="9722" max="9723" width="9.28515625" bestFit="1" customWidth="1"/>
    <col min="9725" max="9725" width="10.28515625" bestFit="1" customWidth="1"/>
    <col min="9726" max="9727" width="9.28515625" bestFit="1" customWidth="1"/>
    <col min="9729" max="9729" width="10.28515625" bestFit="1" customWidth="1"/>
    <col min="9730" max="9731" width="9.28515625" bestFit="1" customWidth="1"/>
    <col min="9733" max="9733" width="10.28515625" bestFit="1" customWidth="1"/>
    <col min="9734" max="9735" width="9.28515625" bestFit="1" customWidth="1"/>
    <col min="9737" max="9737" width="10.28515625" bestFit="1" customWidth="1"/>
    <col min="9738" max="9739" width="9.28515625" bestFit="1" customWidth="1"/>
    <col min="9741" max="9741" width="10.28515625" bestFit="1" customWidth="1"/>
    <col min="9742" max="9743" width="9.28515625" bestFit="1" customWidth="1"/>
    <col min="9745" max="9745" width="10.28515625" bestFit="1" customWidth="1"/>
    <col min="9746" max="9747" width="9.28515625" bestFit="1" customWidth="1"/>
    <col min="9749" max="9749" width="10.28515625" bestFit="1" customWidth="1"/>
    <col min="9750" max="9751" width="9.28515625" bestFit="1" customWidth="1"/>
    <col min="9753" max="9753" width="10.28515625" bestFit="1" customWidth="1"/>
    <col min="9754" max="9755" width="9.28515625" bestFit="1" customWidth="1"/>
    <col min="9757" max="9757" width="10.28515625" bestFit="1" customWidth="1"/>
    <col min="9758" max="9759" width="9.28515625" bestFit="1" customWidth="1"/>
    <col min="9761" max="9761" width="10.28515625" bestFit="1" customWidth="1"/>
    <col min="9762" max="9763" width="9.28515625" bestFit="1" customWidth="1"/>
    <col min="9765" max="9765" width="10.28515625" bestFit="1" customWidth="1"/>
    <col min="9766" max="9767" width="9.28515625" bestFit="1" customWidth="1"/>
    <col min="9769" max="9769" width="10.28515625" bestFit="1" customWidth="1"/>
    <col min="9770" max="9771" width="9.28515625" bestFit="1" customWidth="1"/>
    <col min="9773" max="9773" width="10.28515625" bestFit="1" customWidth="1"/>
    <col min="9774" max="9775" width="9.28515625" bestFit="1" customWidth="1"/>
    <col min="9777" max="9777" width="10.28515625" bestFit="1" customWidth="1"/>
    <col min="9778" max="9779" width="9.28515625" bestFit="1" customWidth="1"/>
    <col min="9781" max="9781" width="10.28515625" bestFit="1" customWidth="1"/>
    <col min="9782" max="9783" width="9.28515625" bestFit="1" customWidth="1"/>
    <col min="9785" max="9785" width="10.28515625" bestFit="1" customWidth="1"/>
    <col min="9786" max="9787" width="9.28515625" bestFit="1" customWidth="1"/>
    <col min="9789" max="9789" width="10.28515625" bestFit="1" customWidth="1"/>
    <col min="9790" max="9791" width="9.28515625" bestFit="1" customWidth="1"/>
    <col min="9793" max="9793" width="10.28515625" bestFit="1" customWidth="1"/>
    <col min="9794" max="9795" width="9.28515625" bestFit="1" customWidth="1"/>
    <col min="9797" max="9797" width="10.28515625" bestFit="1" customWidth="1"/>
    <col min="9798" max="9799" width="9.28515625" bestFit="1" customWidth="1"/>
    <col min="9801" max="9801" width="10.28515625" bestFit="1" customWidth="1"/>
    <col min="9802" max="9803" width="9.28515625" bestFit="1" customWidth="1"/>
    <col min="9805" max="9805" width="10.28515625" bestFit="1" customWidth="1"/>
    <col min="9806" max="9807" width="9.28515625" bestFit="1" customWidth="1"/>
    <col min="9809" max="9809" width="10.28515625" bestFit="1" customWidth="1"/>
    <col min="9810" max="9811" width="9.28515625" bestFit="1" customWidth="1"/>
    <col min="9813" max="9813" width="10.28515625" bestFit="1" customWidth="1"/>
    <col min="9814" max="9815" width="9.28515625" bestFit="1" customWidth="1"/>
    <col min="9817" max="9817" width="10.28515625" bestFit="1" customWidth="1"/>
    <col min="9818" max="9819" width="9.28515625" bestFit="1" customWidth="1"/>
    <col min="9821" max="9821" width="10.28515625" bestFit="1" customWidth="1"/>
    <col min="9822" max="9823" width="9.28515625" bestFit="1" customWidth="1"/>
    <col min="9825" max="9825" width="10.28515625" bestFit="1" customWidth="1"/>
    <col min="9826" max="9827" width="9.28515625" bestFit="1" customWidth="1"/>
    <col min="9829" max="9829" width="10.28515625" bestFit="1" customWidth="1"/>
    <col min="9830" max="9831" width="9.28515625" bestFit="1" customWidth="1"/>
    <col min="9833" max="9833" width="10.28515625" bestFit="1" customWidth="1"/>
    <col min="9834" max="9835" width="9.28515625" bestFit="1" customWidth="1"/>
    <col min="9837" max="9837" width="10.28515625" bestFit="1" customWidth="1"/>
    <col min="9838" max="9839" width="9.28515625" bestFit="1" customWidth="1"/>
    <col min="9841" max="9841" width="10.28515625" bestFit="1" customWidth="1"/>
    <col min="9842" max="9843" width="9.28515625" bestFit="1" customWidth="1"/>
    <col min="9845" max="9845" width="10.28515625" bestFit="1" customWidth="1"/>
    <col min="9846" max="9847" width="9.28515625" bestFit="1" customWidth="1"/>
    <col min="9849" max="9849" width="10.28515625" bestFit="1" customWidth="1"/>
    <col min="9850" max="9851" width="9.28515625" bestFit="1" customWidth="1"/>
    <col min="9853" max="9853" width="10.28515625" bestFit="1" customWidth="1"/>
    <col min="9854" max="9855" width="9.28515625" bestFit="1" customWidth="1"/>
    <col min="9857" max="9857" width="10.28515625" bestFit="1" customWidth="1"/>
    <col min="9858" max="9859" width="9.28515625" bestFit="1" customWidth="1"/>
    <col min="9861" max="9861" width="10.28515625" bestFit="1" customWidth="1"/>
    <col min="9862" max="9863" width="9.28515625" bestFit="1" customWidth="1"/>
    <col min="9865" max="9865" width="10.28515625" bestFit="1" customWidth="1"/>
    <col min="9866" max="9867" width="9.28515625" bestFit="1" customWidth="1"/>
    <col min="9869" max="9869" width="10.28515625" bestFit="1" customWidth="1"/>
    <col min="9870" max="9871" width="9.28515625" bestFit="1" customWidth="1"/>
    <col min="9873" max="9873" width="10.28515625" bestFit="1" customWidth="1"/>
    <col min="9874" max="9875" width="9.28515625" bestFit="1" customWidth="1"/>
    <col min="9877" max="9877" width="10.28515625" bestFit="1" customWidth="1"/>
    <col min="9878" max="9879" width="9.28515625" bestFit="1" customWidth="1"/>
    <col min="9881" max="9881" width="10.28515625" bestFit="1" customWidth="1"/>
    <col min="9882" max="9883" width="9.28515625" bestFit="1" customWidth="1"/>
    <col min="9885" max="9885" width="10.28515625" bestFit="1" customWidth="1"/>
    <col min="9886" max="9887" width="9.28515625" bestFit="1" customWidth="1"/>
    <col min="9889" max="9889" width="10.28515625" bestFit="1" customWidth="1"/>
    <col min="9890" max="9891" width="9.28515625" bestFit="1" customWidth="1"/>
    <col min="9893" max="9893" width="10.28515625" bestFit="1" customWidth="1"/>
    <col min="9894" max="9895" width="9.28515625" bestFit="1" customWidth="1"/>
    <col min="9897" max="9897" width="10.28515625" bestFit="1" customWidth="1"/>
    <col min="9898" max="9899" width="9.28515625" bestFit="1" customWidth="1"/>
    <col min="9901" max="9901" width="10.28515625" bestFit="1" customWidth="1"/>
    <col min="9902" max="9903" width="9.28515625" bestFit="1" customWidth="1"/>
    <col min="9905" max="9905" width="10.28515625" bestFit="1" customWidth="1"/>
    <col min="9906" max="9907" width="9.28515625" bestFit="1" customWidth="1"/>
    <col min="9909" max="9909" width="10.28515625" bestFit="1" customWidth="1"/>
    <col min="9910" max="9911" width="9.28515625" bestFit="1" customWidth="1"/>
    <col min="9913" max="9913" width="10.28515625" bestFit="1" customWidth="1"/>
    <col min="9914" max="9915" width="9.28515625" bestFit="1" customWidth="1"/>
    <col min="9917" max="9917" width="10.28515625" bestFit="1" customWidth="1"/>
    <col min="9918" max="9919" width="9.28515625" bestFit="1" customWidth="1"/>
    <col min="9921" max="9921" width="10.28515625" bestFit="1" customWidth="1"/>
    <col min="9922" max="9923" width="9.28515625" bestFit="1" customWidth="1"/>
    <col min="9925" max="9925" width="10.28515625" bestFit="1" customWidth="1"/>
    <col min="9926" max="9927" width="9.28515625" bestFit="1" customWidth="1"/>
    <col min="9929" max="9929" width="10.28515625" bestFit="1" customWidth="1"/>
    <col min="9930" max="9931" width="9.28515625" bestFit="1" customWidth="1"/>
    <col min="9933" max="9933" width="10.28515625" bestFit="1" customWidth="1"/>
    <col min="9934" max="9935" width="9.28515625" bestFit="1" customWidth="1"/>
    <col min="9937" max="9937" width="10.28515625" bestFit="1" customWidth="1"/>
    <col min="9938" max="9939" width="9.28515625" bestFit="1" customWidth="1"/>
    <col min="9941" max="9941" width="10.28515625" bestFit="1" customWidth="1"/>
    <col min="9942" max="9943" width="9.28515625" bestFit="1" customWidth="1"/>
    <col min="9945" max="9945" width="10.28515625" bestFit="1" customWidth="1"/>
    <col min="9946" max="9947" width="9.28515625" bestFit="1" customWidth="1"/>
    <col min="9949" max="9949" width="10.28515625" bestFit="1" customWidth="1"/>
    <col min="9950" max="9951" width="9.28515625" bestFit="1" customWidth="1"/>
    <col min="9953" max="9953" width="10.28515625" bestFit="1" customWidth="1"/>
    <col min="9954" max="9955" width="9.28515625" bestFit="1" customWidth="1"/>
    <col min="9957" max="9957" width="10.28515625" bestFit="1" customWidth="1"/>
    <col min="9958" max="9959" width="9.28515625" bestFit="1" customWidth="1"/>
    <col min="9961" max="9961" width="10.28515625" bestFit="1" customWidth="1"/>
    <col min="9962" max="9963" width="9.28515625" bestFit="1" customWidth="1"/>
    <col min="9965" max="9965" width="10.28515625" bestFit="1" customWidth="1"/>
    <col min="9966" max="9967" width="9.28515625" bestFit="1" customWidth="1"/>
    <col min="9969" max="9969" width="10.28515625" bestFit="1" customWidth="1"/>
    <col min="9970" max="9971" width="9.28515625" bestFit="1" customWidth="1"/>
    <col min="9973" max="9973" width="10.28515625" bestFit="1" customWidth="1"/>
    <col min="9974" max="9975" width="9.28515625" bestFit="1" customWidth="1"/>
    <col min="9977" max="9977" width="10.28515625" bestFit="1" customWidth="1"/>
    <col min="9978" max="9979" width="9.28515625" bestFit="1" customWidth="1"/>
    <col min="9981" max="9981" width="10.28515625" bestFit="1" customWidth="1"/>
    <col min="9982" max="9983" width="9.28515625" bestFit="1" customWidth="1"/>
    <col min="9985" max="9985" width="10.28515625" bestFit="1" customWidth="1"/>
    <col min="9986" max="9987" width="9.28515625" bestFit="1" customWidth="1"/>
    <col min="9989" max="9989" width="10.28515625" bestFit="1" customWidth="1"/>
    <col min="9990" max="9991" width="9.28515625" bestFit="1" customWidth="1"/>
    <col min="9993" max="9993" width="10.28515625" bestFit="1" customWidth="1"/>
    <col min="9994" max="9995" width="9.28515625" bestFit="1" customWidth="1"/>
    <col min="9997" max="9997" width="10.28515625" bestFit="1" customWidth="1"/>
    <col min="9998" max="9999" width="9.28515625" bestFit="1" customWidth="1"/>
    <col min="10001" max="10001" width="10.28515625" bestFit="1" customWidth="1"/>
    <col min="10002" max="10003" width="9.28515625" bestFit="1" customWidth="1"/>
    <col min="10005" max="10005" width="10.28515625" bestFit="1" customWidth="1"/>
    <col min="10006" max="10007" width="9.28515625" bestFit="1" customWidth="1"/>
    <col min="10009" max="10009" width="10.28515625" bestFit="1" customWidth="1"/>
    <col min="10010" max="10011" width="9.28515625" bestFit="1" customWidth="1"/>
    <col min="10013" max="10013" width="10.28515625" bestFit="1" customWidth="1"/>
    <col min="10014" max="10015" width="9.28515625" bestFit="1" customWidth="1"/>
    <col min="10017" max="10017" width="10.28515625" bestFit="1" customWidth="1"/>
    <col min="10018" max="10019" width="9.28515625" bestFit="1" customWidth="1"/>
    <col min="10021" max="10021" width="10.28515625" bestFit="1" customWidth="1"/>
    <col min="10022" max="10023" width="9.28515625" bestFit="1" customWidth="1"/>
    <col min="10025" max="10025" width="10.28515625" bestFit="1" customWidth="1"/>
    <col min="10026" max="10027" width="9.28515625" bestFit="1" customWidth="1"/>
    <col min="10029" max="10029" width="10.28515625" bestFit="1" customWidth="1"/>
    <col min="10030" max="10031" width="9.28515625" bestFit="1" customWidth="1"/>
    <col min="10033" max="10033" width="10.28515625" bestFit="1" customWidth="1"/>
    <col min="10034" max="10035" width="9.28515625" bestFit="1" customWidth="1"/>
    <col min="10037" max="10037" width="10.28515625" bestFit="1" customWidth="1"/>
    <col min="10038" max="10039" width="9.28515625" bestFit="1" customWidth="1"/>
    <col min="10041" max="10041" width="10.28515625" bestFit="1" customWidth="1"/>
    <col min="10042" max="10043" width="9.28515625" bestFit="1" customWidth="1"/>
    <col min="10045" max="10045" width="10.28515625" bestFit="1" customWidth="1"/>
    <col min="10046" max="10047" width="9.28515625" bestFit="1" customWidth="1"/>
    <col min="10049" max="10049" width="10.28515625" bestFit="1" customWidth="1"/>
    <col min="10050" max="10051" width="9.28515625" bestFit="1" customWidth="1"/>
    <col min="10053" max="10053" width="10.28515625" bestFit="1" customWidth="1"/>
    <col min="10054" max="10055" width="9.28515625" bestFit="1" customWidth="1"/>
    <col min="10057" max="10057" width="10.28515625" bestFit="1" customWidth="1"/>
    <col min="10058" max="10059" width="9.28515625" bestFit="1" customWidth="1"/>
    <col min="10061" max="10061" width="10.28515625" bestFit="1" customWidth="1"/>
    <col min="10062" max="10063" width="9.28515625" bestFit="1" customWidth="1"/>
    <col min="10065" max="10065" width="10.28515625" bestFit="1" customWidth="1"/>
    <col min="10066" max="10067" width="9.28515625" bestFit="1" customWidth="1"/>
    <col min="10069" max="10069" width="10.28515625" bestFit="1" customWidth="1"/>
    <col min="10070" max="10071" width="9.28515625" bestFit="1" customWidth="1"/>
    <col min="10073" max="10073" width="10.28515625" bestFit="1" customWidth="1"/>
    <col min="10074" max="10075" width="9.28515625" bestFit="1" customWidth="1"/>
    <col min="10077" max="10077" width="10.28515625" bestFit="1" customWidth="1"/>
    <col min="10078" max="10079" width="9.28515625" bestFit="1" customWidth="1"/>
    <col min="10081" max="10081" width="10.28515625" bestFit="1" customWidth="1"/>
    <col min="10082" max="10083" width="9.28515625" bestFit="1" customWidth="1"/>
    <col min="10085" max="10085" width="10.28515625" bestFit="1" customWidth="1"/>
    <col min="10086" max="10087" width="9.28515625" bestFit="1" customWidth="1"/>
    <col min="10089" max="10089" width="10.28515625" bestFit="1" customWidth="1"/>
    <col min="10090" max="10091" width="9.28515625" bestFit="1" customWidth="1"/>
    <col min="10093" max="10093" width="10.28515625" bestFit="1" customWidth="1"/>
    <col min="10094" max="10095" width="9.28515625" bestFit="1" customWidth="1"/>
    <col min="10097" max="10097" width="10.28515625" bestFit="1" customWidth="1"/>
    <col min="10098" max="10099" width="9.28515625" bestFit="1" customWidth="1"/>
    <col min="10101" max="10101" width="10.28515625" bestFit="1" customWidth="1"/>
    <col min="10102" max="10103" width="9.28515625" bestFit="1" customWidth="1"/>
    <col min="10105" max="10105" width="10.28515625" bestFit="1" customWidth="1"/>
    <col min="10106" max="10107" width="9.28515625" bestFit="1" customWidth="1"/>
    <col min="10109" max="10109" width="10.28515625" bestFit="1" customWidth="1"/>
    <col min="10110" max="10111" width="9.28515625" bestFit="1" customWidth="1"/>
    <col min="10113" max="10113" width="10.28515625" bestFit="1" customWidth="1"/>
    <col min="10114" max="10115" width="9.28515625" bestFit="1" customWidth="1"/>
    <col min="10117" max="10117" width="10.28515625" bestFit="1" customWidth="1"/>
    <col min="10118" max="10119" width="9.28515625" bestFit="1" customWidth="1"/>
    <col min="10121" max="10121" width="10.28515625" bestFit="1" customWidth="1"/>
    <col min="10122" max="10123" width="9.28515625" bestFit="1" customWidth="1"/>
    <col min="10125" max="10125" width="10.28515625" bestFit="1" customWidth="1"/>
    <col min="10126" max="10127" width="9.28515625" bestFit="1" customWidth="1"/>
    <col min="10129" max="10129" width="10.28515625" bestFit="1" customWidth="1"/>
    <col min="10130" max="10131" width="9.28515625" bestFit="1" customWidth="1"/>
    <col min="10133" max="10133" width="10.28515625" bestFit="1" customWidth="1"/>
    <col min="10134" max="10135" width="9.28515625" bestFit="1" customWidth="1"/>
    <col min="10137" max="10137" width="10.28515625" bestFit="1" customWidth="1"/>
    <col min="10138" max="10139" width="9.28515625" bestFit="1" customWidth="1"/>
    <col min="10141" max="10141" width="10.28515625" bestFit="1" customWidth="1"/>
    <col min="10142" max="10143" width="9.28515625" bestFit="1" customWidth="1"/>
    <col min="10145" max="10145" width="10.28515625" bestFit="1" customWidth="1"/>
    <col min="10146" max="10147" width="9.28515625" bestFit="1" customWidth="1"/>
    <col min="10149" max="10149" width="10.28515625" bestFit="1" customWidth="1"/>
    <col min="10150" max="10151" width="9.28515625" bestFit="1" customWidth="1"/>
    <col min="10153" max="10153" width="10.28515625" bestFit="1" customWidth="1"/>
    <col min="10154" max="10155" width="9.28515625" bestFit="1" customWidth="1"/>
    <col min="10157" max="10157" width="10.28515625" bestFit="1" customWidth="1"/>
    <col min="10158" max="10159" width="9.28515625" bestFit="1" customWidth="1"/>
    <col min="10161" max="10161" width="10.28515625" bestFit="1" customWidth="1"/>
    <col min="10162" max="10163" width="9.28515625" bestFit="1" customWidth="1"/>
    <col min="10165" max="10165" width="10.28515625" bestFit="1" customWidth="1"/>
    <col min="10166" max="10167" width="9.28515625" bestFit="1" customWidth="1"/>
    <col min="10169" max="10169" width="10.28515625" bestFit="1" customWidth="1"/>
    <col min="10170" max="10171" width="9.28515625" bestFit="1" customWidth="1"/>
    <col min="10173" max="10173" width="10.28515625" bestFit="1" customWidth="1"/>
    <col min="10174" max="10175" width="9.28515625" bestFit="1" customWidth="1"/>
    <col min="10177" max="10177" width="10.28515625" bestFit="1" customWidth="1"/>
    <col min="10178" max="10179" width="9.28515625" bestFit="1" customWidth="1"/>
    <col min="10181" max="10181" width="10.28515625" bestFit="1" customWidth="1"/>
    <col min="10182" max="10183" width="9.28515625" bestFit="1" customWidth="1"/>
    <col min="10185" max="10185" width="10.28515625" bestFit="1" customWidth="1"/>
    <col min="10186" max="10187" width="9.28515625" bestFit="1" customWidth="1"/>
    <col min="10189" max="10189" width="10.28515625" bestFit="1" customWidth="1"/>
    <col min="10190" max="10191" width="9.28515625" bestFit="1" customWidth="1"/>
    <col min="10193" max="10193" width="10.28515625" bestFit="1" customWidth="1"/>
    <col min="10194" max="10195" width="9.28515625" bestFit="1" customWidth="1"/>
    <col min="10197" max="10197" width="10.28515625" bestFit="1" customWidth="1"/>
    <col min="10198" max="10199" width="9.28515625" bestFit="1" customWidth="1"/>
    <col min="10201" max="10201" width="10.28515625" bestFit="1" customWidth="1"/>
    <col min="10202" max="10203" width="9.28515625" bestFit="1" customWidth="1"/>
    <col min="10205" max="10205" width="10.28515625" bestFit="1" customWidth="1"/>
    <col min="10206" max="10207" width="9.28515625" bestFit="1" customWidth="1"/>
    <col min="10209" max="10209" width="10.28515625" bestFit="1" customWidth="1"/>
    <col min="10210" max="10211" width="9.28515625" bestFit="1" customWidth="1"/>
    <col min="10213" max="10213" width="10.28515625" bestFit="1" customWidth="1"/>
    <col min="10214" max="10215" width="9.28515625" bestFit="1" customWidth="1"/>
    <col min="10217" max="10217" width="10.28515625" bestFit="1" customWidth="1"/>
    <col min="10218" max="10219" width="9.28515625" bestFit="1" customWidth="1"/>
    <col min="10221" max="10221" width="10.28515625" bestFit="1" customWidth="1"/>
    <col min="10222" max="10223" width="9.28515625" bestFit="1" customWidth="1"/>
    <col min="10225" max="10225" width="10.28515625" bestFit="1" customWidth="1"/>
    <col min="10226" max="10227" width="9.28515625" bestFit="1" customWidth="1"/>
    <col min="10229" max="10229" width="10.28515625" bestFit="1" customWidth="1"/>
    <col min="10230" max="10231" width="9.28515625" bestFit="1" customWidth="1"/>
    <col min="10233" max="10233" width="10.28515625" bestFit="1" customWidth="1"/>
    <col min="10234" max="10235" width="9.28515625" bestFit="1" customWidth="1"/>
    <col min="10237" max="10237" width="10.28515625" bestFit="1" customWidth="1"/>
    <col min="10238" max="10239" width="9.28515625" bestFit="1" customWidth="1"/>
    <col min="10241" max="10241" width="10.28515625" bestFit="1" customWidth="1"/>
    <col min="10242" max="10243" width="9.28515625" bestFit="1" customWidth="1"/>
    <col min="10245" max="10245" width="10.28515625" bestFit="1" customWidth="1"/>
    <col min="10246" max="10247" width="9.28515625" bestFit="1" customWidth="1"/>
    <col min="10249" max="10249" width="10.28515625" bestFit="1" customWidth="1"/>
    <col min="10250" max="10251" width="9.28515625" bestFit="1" customWidth="1"/>
    <col min="10253" max="10253" width="10.28515625" bestFit="1" customWidth="1"/>
    <col min="10254" max="10255" width="9.28515625" bestFit="1" customWidth="1"/>
    <col min="10257" max="10257" width="10.28515625" bestFit="1" customWidth="1"/>
    <col min="10258" max="10259" width="9.28515625" bestFit="1" customWidth="1"/>
    <col min="10261" max="10261" width="10.28515625" bestFit="1" customWidth="1"/>
    <col min="10262" max="10263" width="9.28515625" bestFit="1" customWidth="1"/>
    <col min="10265" max="10265" width="10.28515625" bestFit="1" customWidth="1"/>
    <col min="10266" max="10267" width="9.28515625" bestFit="1" customWidth="1"/>
    <col min="10269" max="10269" width="10.28515625" bestFit="1" customWidth="1"/>
    <col min="10270" max="10271" width="9.28515625" bestFit="1" customWidth="1"/>
    <col min="10273" max="10273" width="10.28515625" bestFit="1" customWidth="1"/>
    <col min="10274" max="10275" width="9.28515625" bestFit="1" customWidth="1"/>
    <col min="10277" max="10277" width="10.28515625" bestFit="1" customWidth="1"/>
    <col min="10278" max="10279" width="9.28515625" bestFit="1" customWidth="1"/>
    <col min="10281" max="10281" width="10.28515625" bestFit="1" customWidth="1"/>
    <col min="10282" max="10283" width="9.28515625" bestFit="1" customWidth="1"/>
    <col min="10285" max="10285" width="10.28515625" bestFit="1" customWidth="1"/>
    <col min="10286" max="10287" width="9.28515625" bestFit="1" customWidth="1"/>
    <col min="10289" max="10289" width="10.28515625" bestFit="1" customWidth="1"/>
    <col min="10290" max="10291" width="9.28515625" bestFit="1" customWidth="1"/>
    <col min="10293" max="10293" width="10.28515625" bestFit="1" customWidth="1"/>
    <col min="10294" max="10295" width="9.28515625" bestFit="1" customWidth="1"/>
    <col min="10297" max="10297" width="10.28515625" bestFit="1" customWidth="1"/>
    <col min="10298" max="10299" width="9.28515625" bestFit="1" customWidth="1"/>
    <col min="10301" max="10301" width="10.28515625" bestFit="1" customWidth="1"/>
    <col min="10302" max="10303" width="9.28515625" bestFit="1" customWidth="1"/>
    <col min="10305" max="10305" width="10.28515625" bestFit="1" customWidth="1"/>
    <col min="10306" max="10307" width="9.28515625" bestFit="1" customWidth="1"/>
    <col min="10309" max="10309" width="10.28515625" bestFit="1" customWidth="1"/>
    <col min="10310" max="10311" width="9.28515625" bestFit="1" customWidth="1"/>
    <col min="10313" max="10313" width="10.28515625" bestFit="1" customWidth="1"/>
    <col min="10314" max="10315" width="9.28515625" bestFit="1" customWidth="1"/>
    <col min="10317" max="10317" width="10.28515625" bestFit="1" customWidth="1"/>
    <col min="10318" max="10319" width="9.28515625" bestFit="1" customWidth="1"/>
    <col min="10321" max="10321" width="10.28515625" bestFit="1" customWidth="1"/>
    <col min="10322" max="10323" width="9.28515625" bestFit="1" customWidth="1"/>
    <col min="10325" max="10325" width="10.28515625" bestFit="1" customWidth="1"/>
    <col min="10326" max="10327" width="9.28515625" bestFit="1" customWidth="1"/>
    <col min="10329" max="10329" width="10.28515625" bestFit="1" customWidth="1"/>
    <col min="10330" max="10331" width="9.28515625" bestFit="1" customWidth="1"/>
    <col min="10333" max="10333" width="10.28515625" bestFit="1" customWidth="1"/>
    <col min="10334" max="10335" width="9.28515625" bestFit="1" customWidth="1"/>
    <col min="10337" max="10337" width="10.28515625" bestFit="1" customWidth="1"/>
    <col min="10338" max="10339" width="9.28515625" bestFit="1" customWidth="1"/>
    <col min="10341" max="10341" width="10.28515625" bestFit="1" customWidth="1"/>
    <col min="10342" max="10343" width="9.28515625" bestFit="1" customWidth="1"/>
    <col min="10345" max="10345" width="10.28515625" bestFit="1" customWidth="1"/>
    <col min="10346" max="10347" width="9.28515625" bestFit="1" customWidth="1"/>
    <col min="10349" max="10349" width="10.28515625" bestFit="1" customWidth="1"/>
    <col min="10350" max="10351" width="9.28515625" bestFit="1" customWidth="1"/>
    <col min="10353" max="10353" width="10.28515625" bestFit="1" customWidth="1"/>
    <col min="10354" max="10355" width="9.28515625" bestFit="1" customWidth="1"/>
    <col min="10357" max="10357" width="10.28515625" bestFit="1" customWidth="1"/>
    <col min="10358" max="10359" width="9.28515625" bestFit="1" customWidth="1"/>
    <col min="10361" max="10361" width="10.28515625" bestFit="1" customWidth="1"/>
    <col min="10362" max="10363" width="9.28515625" bestFit="1" customWidth="1"/>
    <col min="10365" max="10365" width="10.28515625" bestFit="1" customWidth="1"/>
    <col min="10366" max="10367" width="9.28515625" bestFit="1" customWidth="1"/>
    <col min="10369" max="10369" width="10.28515625" bestFit="1" customWidth="1"/>
    <col min="10370" max="10371" width="9.28515625" bestFit="1" customWidth="1"/>
    <col min="10373" max="10373" width="10.28515625" bestFit="1" customWidth="1"/>
    <col min="10374" max="10375" width="9.28515625" bestFit="1" customWidth="1"/>
    <col min="10377" max="10377" width="10.28515625" bestFit="1" customWidth="1"/>
    <col min="10378" max="10379" width="9.28515625" bestFit="1" customWidth="1"/>
    <col min="10381" max="10381" width="10.28515625" bestFit="1" customWidth="1"/>
    <col min="10382" max="10383" width="9.28515625" bestFit="1" customWidth="1"/>
    <col min="10385" max="10385" width="10.28515625" bestFit="1" customWidth="1"/>
    <col min="10386" max="10387" width="9.28515625" bestFit="1" customWidth="1"/>
    <col min="10389" max="10389" width="10.28515625" bestFit="1" customWidth="1"/>
    <col min="10390" max="10391" width="9.28515625" bestFit="1" customWidth="1"/>
    <col min="10393" max="10393" width="10.28515625" bestFit="1" customWidth="1"/>
    <col min="10394" max="10395" width="9.28515625" bestFit="1" customWidth="1"/>
    <col min="10397" max="10397" width="10.28515625" bestFit="1" customWidth="1"/>
    <col min="10398" max="10399" width="9.28515625" bestFit="1" customWidth="1"/>
    <col min="10401" max="10401" width="10.28515625" bestFit="1" customWidth="1"/>
    <col min="10402" max="10403" width="9.28515625" bestFit="1" customWidth="1"/>
    <col min="10405" max="10405" width="10.28515625" bestFit="1" customWidth="1"/>
    <col min="10406" max="10407" width="9.28515625" bestFit="1" customWidth="1"/>
    <col min="10409" max="10409" width="10.28515625" bestFit="1" customWidth="1"/>
    <col min="10410" max="10411" width="9.28515625" bestFit="1" customWidth="1"/>
    <col min="10413" max="10413" width="10.28515625" bestFit="1" customWidth="1"/>
    <col min="10414" max="10415" width="9.28515625" bestFit="1" customWidth="1"/>
    <col min="10417" max="10417" width="10.28515625" bestFit="1" customWidth="1"/>
    <col min="10418" max="10419" width="9.28515625" bestFit="1" customWidth="1"/>
    <col min="10421" max="10421" width="10.28515625" bestFit="1" customWidth="1"/>
    <col min="10422" max="10423" width="9.28515625" bestFit="1" customWidth="1"/>
    <col min="10425" max="10425" width="10.28515625" bestFit="1" customWidth="1"/>
    <col min="10426" max="10427" width="9.28515625" bestFit="1" customWidth="1"/>
    <col min="10429" max="10429" width="10.28515625" bestFit="1" customWidth="1"/>
    <col min="10430" max="10431" width="9.28515625" bestFit="1" customWidth="1"/>
    <col min="10433" max="10433" width="10.28515625" bestFit="1" customWidth="1"/>
    <col min="10434" max="10435" width="9.28515625" bestFit="1" customWidth="1"/>
    <col min="10437" max="10437" width="10.28515625" bestFit="1" customWidth="1"/>
    <col min="10438" max="10439" width="9.28515625" bestFit="1" customWidth="1"/>
    <col min="10441" max="10441" width="10.28515625" bestFit="1" customWidth="1"/>
    <col min="10442" max="10443" width="9.28515625" bestFit="1" customWidth="1"/>
    <col min="10445" max="10445" width="10.28515625" bestFit="1" customWidth="1"/>
    <col min="10446" max="10447" width="9.28515625" bestFit="1" customWidth="1"/>
    <col min="10449" max="10449" width="10.28515625" bestFit="1" customWidth="1"/>
    <col min="10450" max="10451" width="9.28515625" bestFit="1" customWidth="1"/>
    <col min="10453" max="10453" width="10.28515625" bestFit="1" customWidth="1"/>
    <col min="10454" max="10455" width="9.28515625" bestFit="1" customWidth="1"/>
    <col min="10457" max="10457" width="10.28515625" bestFit="1" customWidth="1"/>
    <col min="10458" max="10459" width="9.28515625" bestFit="1" customWidth="1"/>
    <col min="10461" max="10461" width="10.28515625" bestFit="1" customWidth="1"/>
    <col min="10462" max="10463" width="9.28515625" bestFit="1" customWidth="1"/>
    <col min="10465" max="10465" width="10.28515625" bestFit="1" customWidth="1"/>
    <col min="10466" max="10467" width="9.28515625" bestFit="1" customWidth="1"/>
    <col min="10469" max="10469" width="10.28515625" bestFit="1" customWidth="1"/>
    <col min="10470" max="10471" width="9.28515625" bestFit="1" customWidth="1"/>
    <col min="10473" max="10473" width="10.28515625" bestFit="1" customWidth="1"/>
    <col min="10474" max="10475" width="9.28515625" bestFit="1" customWidth="1"/>
    <col min="10477" max="10477" width="10.28515625" bestFit="1" customWidth="1"/>
    <col min="10478" max="10479" width="9.28515625" bestFit="1" customWidth="1"/>
    <col min="10481" max="10481" width="10.28515625" bestFit="1" customWidth="1"/>
    <col min="10482" max="10483" width="9.28515625" bestFit="1" customWidth="1"/>
    <col min="10485" max="10485" width="10.28515625" bestFit="1" customWidth="1"/>
    <col min="10486" max="10487" width="9.28515625" bestFit="1" customWidth="1"/>
    <col min="10489" max="10489" width="10.28515625" bestFit="1" customWidth="1"/>
    <col min="10490" max="10491" width="9.28515625" bestFit="1" customWidth="1"/>
    <col min="10493" max="10493" width="10.28515625" bestFit="1" customWidth="1"/>
    <col min="10494" max="10495" width="9.28515625" bestFit="1" customWidth="1"/>
    <col min="10497" max="10497" width="10.28515625" bestFit="1" customWidth="1"/>
    <col min="10498" max="10499" width="9.28515625" bestFit="1" customWidth="1"/>
    <col min="10501" max="10501" width="10.28515625" bestFit="1" customWidth="1"/>
    <col min="10502" max="10503" width="9.28515625" bestFit="1" customWidth="1"/>
    <col min="10505" max="10505" width="10.28515625" bestFit="1" customWidth="1"/>
    <col min="10506" max="10507" width="9.28515625" bestFit="1" customWidth="1"/>
    <col min="10509" max="10509" width="10.28515625" bestFit="1" customWidth="1"/>
    <col min="10510" max="10511" width="9.28515625" bestFit="1" customWidth="1"/>
    <col min="10513" max="10513" width="10.28515625" bestFit="1" customWidth="1"/>
    <col min="10514" max="10515" width="9.28515625" bestFit="1" customWidth="1"/>
    <col min="10517" max="10517" width="10.28515625" bestFit="1" customWidth="1"/>
    <col min="10518" max="10519" width="9.28515625" bestFit="1" customWidth="1"/>
    <col min="10521" max="10521" width="10.28515625" bestFit="1" customWidth="1"/>
    <col min="10522" max="10523" width="9.28515625" bestFit="1" customWidth="1"/>
    <col min="10525" max="10525" width="10.28515625" bestFit="1" customWidth="1"/>
    <col min="10526" max="10527" width="9.28515625" bestFit="1" customWidth="1"/>
    <col min="10529" max="10529" width="10.28515625" bestFit="1" customWidth="1"/>
    <col min="10530" max="10531" width="9.28515625" bestFit="1" customWidth="1"/>
    <col min="10533" max="10533" width="10.28515625" bestFit="1" customWidth="1"/>
    <col min="10534" max="10535" width="9.28515625" bestFit="1" customWidth="1"/>
    <col min="10537" max="10537" width="10.28515625" bestFit="1" customWidth="1"/>
    <col min="10538" max="10539" width="9.28515625" bestFit="1" customWidth="1"/>
    <col min="10541" max="10541" width="10.28515625" bestFit="1" customWidth="1"/>
    <col min="10542" max="10543" width="9.28515625" bestFit="1" customWidth="1"/>
    <col min="10545" max="10545" width="10.28515625" bestFit="1" customWidth="1"/>
    <col min="10546" max="10547" width="9.28515625" bestFit="1" customWidth="1"/>
    <col min="10549" max="10549" width="10.28515625" bestFit="1" customWidth="1"/>
    <col min="10550" max="10551" width="9.28515625" bestFit="1" customWidth="1"/>
    <col min="10553" max="10553" width="10.28515625" bestFit="1" customWidth="1"/>
    <col min="10554" max="10555" width="9.28515625" bestFit="1" customWidth="1"/>
    <col min="10557" max="10557" width="10.28515625" bestFit="1" customWidth="1"/>
    <col min="10558" max="10559" width="9.28515625" bestFit="1" customWidth="1"/>
    <col min="10561" max="10561" width="10.28515625" bestFit="1" customWidth="1"/>
    <col min="10562" max="10563" width="9.28515625" bestFit="1" customWidth="1"/>
    <col min="10565" max="10565" width="10.28515625" bestFit="1" customWidth="1"/>
    <col min="10566" max="10567" width="9.28515625" bestFit="1" customWidth="1"/>
    <col min="10569" max="10569" width="10.28515625" bestFit="1" customWidth="1"/>
    <col min="10570" max="10571" width="9.28515625" bestFit="1" customWidth="1"/>
    <col min="10573" max="10573" width="10.28515625" bestFit="1" customWidth="1"/>
    <col min="10574" max="10575" width="9.28515625" bestFit="1" customWidth="1"/>
    <col min="10577" max="10577" width="10.28515625" bestFit="1" customWidth="1"/>
    <col min="10578" max="10579" width="9.28515625" bestFit="1" customWidth="1"/>
    <col min="10581" max="10581" width="10.28515625" bestFit="1" customWidth="1"/>
    <col min="10582" max="10583" width="9.28515625" bestFit="1" customWidth="1"/>
    <col min="10585" max="10585" width="10.28515625" bestFit="1" customWidth="1"/>
    <col min="10586" max="10587" width="9.28515625" bestFit="1" customWidth="1"/>
    <col min="10589" max="10589" width="10.28515625" bestFit="1" customWidth="1"/>
    <col min="10590" max="10591" width="9.28515625" bestFit="1" customWidth="1"/>
    <col min="10593" max="10593" width="10.28515625" bestFit="1" customWidth="1"/>
    <col min="10594" max="10595" width="9.28515625" bestFit="1" customWidth="1"/>
    <col min="10597" max="10597" width="10.28515625" bestFit="1" customWidth="1"/>
    <col min="10598" max="10599" width="9.28515625" bestFit="1" customWidth="1"/>
    <col min="10601" max="10601" width="10.28515625" bestFit="1" customWidth="1"/>
    <col min="10602" max="10603" width="9.28515625" bestFit="1" customWidth="1"/>
    <col min="10605" max="10605" width="10.28515625" bestFit="1" customWidth="1"/>
    <col min="10606" max="10607" width="9.28515625" bestFit="1" customWidth="1"/>
    <col min="10609" max="10609" width="10.28515625" bestFit="1" customWidth="1"/>
    <col min="10610" max="10611" width="9.28515625" bestFit="1" customWidth="1"/>
    <col min="10613" max="10613" width="10.28515625" bestFit="1" customWidth="1"/>
    <col min="10614" max="10615" width="9.28515625" bestFit="1" customWidth="1"/>
    <col min="10617" max="10617" width="10.28515625" bestFit="1" customWidth="1"/>
    <col min="10618" max="10619" width="9.28515625" bestFit="1" customWidth="1"/>
    <col min="10621" max="10621" width="10.28515625" bestFit="1" customWidth="1"/>
    <col min="10622" max="10623" width="9.28515625" bestFit="1" customWidth="1"/>
    <col min="10625" max="10625" width="10.28515625" bestFit="1" customWidth="1"/>
    <col min="10626" max="10627" width="9.28515625" bestFit="1" customWidth="1"/>
    <col min="10629" max="10629" width="10.28515625" bestFit="1" customWidth="1"/>
    <col min="10630" max="10631" width="9.28515625" bestFit="1" customWidth="1"/>
    <col min="10633" max="10633" width="10.28515625" bestFit="1" customWidth="1"/>
    <col min="10634" max="10635" width="9.28515625" bestFit="1" customWidth="1"/>
    <col min="10637" max="10637" width="10.28515625" bestFit="1" customWidth="1"/>
    <col min="10638" max="10639" width="9.28515625" bestFit="1" customWidth="1"/>
    <col min="10641" max="10641" width="10.28515625" bestFit="1" customWidth="1"/>
    <col min="10642" max="10643" width="9.28515625" bestFit="1" customWidth="1"/>
    <col min="10645" max="10645" width="10.28515625" bestFit="1" customWidth="1"/>
    <col min="10646" max="10647" width="9.28515625" bestFit="1" customWidth="1"/>
    <col min="10649" max="10649" width="10.28515625" bestFit="1" customWidth="1"/>
    <col min="10650" max="10651" width="9.28515625" bestFit="1" customWidth="1"/>
    <col min="10653" max="10653" width="10.28515625" bestFit="1" customWidth="1"/>
    <col min="10654" max="10655" width="9.28515625" bestFit="1" customWidth="1"/>
    <col min="10657" max="10657" width="10.28515625" bestFit="1" customWidth="1"/>
    <col min="10658" max="10659" width="9.28515625" bestFit="1" customWidth="1"/>
    <col min="10661" max="10661" width="10.28515625" bestFit="1" customWidth="1"/>
    <col min="10662" max="10663" width="9.28515625" bestFit="1" customWidth="1"/>
    <col min="10665" max="10665" width="10.28515625" bestFit="1" customWidth="1"/>
    <col min="10666" max="10667" width="9.28515625" bestFit="1" customWidth="1"/>
    <col min="10669" max="10669" width="10.28515625" bestFit="1" customWidth="1"/>
    <col min="10670" max="10671" width="9.28515625" bestFit="1" customWidth="1"/>
    <col min="10673" max="10673" width="10.28515625" bestFit="1" customWidth="1"/>
    <col min="10674" max="10675" width="9.28515625" bestFit="1" customWidth="1"/>
    <col min="10677" max="10677" width="10.28515625" bestFit="1" customWidth="1"/>
    <col min="10678" max="10679" width="9.28515625" bestFit="1" customWidth="1"/>
    <col min="10681" max="10681" width="10.28515625" bestFit="1" customWidth="1"/>
    <col min="10682" max="10683" width="9.28515625" bestFit="1" customWidth="1"/>
    <col min="10685" max="10685" width="10.28515625" bestFit="1" customWidth="1"/>
    <col min="10686" max="10687" width="9.28515625" bestFit="1" customWidth="1"/>
    <col min="10689" max="10689" width="10.28515625" bestFit="1" customWidth="1"/>
    <col min="10690" max="10691" width="9.28515625" bestFit="1" customWidth="1"/>
    <col min="10693" max="10693" width="10.28515625" bestFit="1" customWidth="1"/>
    <col min="10694" max="10695" width="9.28515625" bestFit="1" customWidth="1"/>
    <col min="10697" max="10697" width="10.28515625" bestFit="1" customWidth="1"/>
    <col min="10698" max="10699" width="9.28515625" bestFit="1" customWidth="1"/>
    <col min="10701" max="10701" width="10.28515625" bestFit="1" customWidth="1"/>
    <col min="10702" max="10703" width="9.28515625" bestFit="1" customWidth="1"/>
    <col min="10705" max="10705" width="10.28515625" bestFit="1" customWidth="1"/>
    <col min="10706" max="10707" width="9.28515625" bestFit="1" customWidth="1"/>
    <col min="10709" max="10709" width="10.28515625" bestFit="1" customWidth="1"/>
    <col min="10710" max="10711" width="9.28515625" bestFit="1" customWidth="1"/>
    <col min="10713" max="10713" width="10.28515625" bestFit="1" customWidth="1"/>
    <col min="10714" max="10715" width="9.28515625" bestFit="1" customWidth="1"/>
    <col min="10717" max="10717" width="10.28515625" bestFit="1" customWidth="1"/>
    <col min="10718" max="10719" width="9.28515625" bestFit="1" customWidth="1"/>
    <col min="10721" max="10721" width="10.28515625" bestFit="1" customWidth="1"/>
    <col min="10722" max="10723" width="9.28515625" bestFit="1" customWidth="1"/>
    <col min="10725" max="10725" width="10.28515625" bestFit="1" customWidth="1"/>
    <col min="10726" max="10727" width="9.28515625" bestFit="1" customWidth="1"/>
    <col min="10729" max="10729" width="10.28515625" bestFit="1" customWidth="1"/>
    <col min="10730" max="10731" width="9.28515625" bestFit="1" customWidth="1"/>
    <col min="10733" max="10733" width="10.28515625" bestFit="1" customWidth="1"/>
    <col min="10734" max="10735" width="9.28515625" bestFit="1" customWidth="1"/>
    <col min="10737" max="10737" width="10.28515625" bestFit="1" customWidth="1"/>
    <col min="10738" max="10739" width="9.28515625" bestFit="1" customWidth="1"/>
    <col min="10741" max="10741" width="10.28515625" bestFit="1" customWidth="1"/>
    <col min="10742" max="10743" width="9.28515625" bestFit="1" customWidth="1"/>
    <col min="10745" max="10745" width="10.28515625" bestFit="1" customWidth="1"/>
    <col min="10746" max="10747" width="9.28515625" bestFit="1" customWidth="1"/>
    <col min="10749" max="10749" width="10.28515625" bestFit="1" customWidth="1"/>
    <col min="10750" max="10751" width="9.28515625" bestFit="1" customWidth="1"/>
    <col min="10753" max="10753" width="10.28515625" bestFit="1" customWidth="1"/>
    <col min="10754" max="10755" width="9.28515625" bestFit="1" customWidth="1"/>
    <col min="10757" max="10757" width="10.28515625" bestFit="1" customWidth="1"/>
    <col min="10758" max="10759" width="9.28515625" bestFit="1" customWidth="1"/>
    <col min="10761" max="10761" width="10.28515625" bestFit="1" customWidth="1"/>
    <col min="10762" max="10763" width="9.28515625" bestFit="1" customWidth="1"/>
    <col min="10765" max="10765" width="10.28515625" bestFit="1" customWidth="1"/>
    <col min="10766" max="10767" width="9.28515625" bestFit="1" customWidth="1"/>
    <col min="10769" max="10769" width="10.28515625" bestFit="1" customWidth="1"/>
    <col min="10770" max="10771" width="9.28515625" bestFit="1" customWidth="1"/>
    <col min="10773" max="10773" width="10.28515625" bestFit="1" customWidth="1"/>
    <col min="10774" max="10775" width="9.28515625" bestFit="1" customWidth="1"/>
    <col min="10777" max="10777" width="10.28515625" bestFit="1" customWidth="1"/>
    <col min="10778" max="10779" width="9.28515625" bestFit="1" customWidth="1"/>
    <col min="10781" max="10781" width="10.28515625" bestFit="1" customWidth="1"/>
    <col min="10782" max="10783" width="9.28515625" bestFit="1" customWidth="1"/>
    <col min="10785" max="10785" width="10.28515625" bestFit="1" customWidth="1"/>
    <col min="10786" max="10787" width="9.28515625" bestFit="1" customWidth="1"/>
    <col min="10789" max="10789" width="10.28515625" bestFit="1" customWidth="1"/>
    <col min="10790" max="10791" width="9.28515625" bestFit="1" customWidth="1"/>
    <col min="10793" max="10793" width="10.28515625" bestFit="1" customWidth="1"/>
    <col min="10794" max="10795" width="9.28515625" bestFit="1" customWidth="1"/>
    <col min="10797" max="10797" width="10.28515625" bestFit="1" customWidth="1"/>
    <col min="10798" max="10799" width="9.28515625" bestFit="1" customWidth="1"/>
    <col min="10801" max="10801" width="10.28515625" bestFit="1" customWidth="1"/>
    <col min="10802" max="10803" width="9.28515625" bestFit="1" customWidth="1"/>
    <col min="10805" max="10805" width="10.28515625" bestFit="1" customWidth="1"/>
    <col min="10806" max="10807" width="9.28515625" bestFit="1" customWidth="1"/>
    <col min="10809" max="10809" width="10.28515625" bestFit="1" customWidth="1"/>
    <col min="10810" max="10811" width="9.28515625" bestFit="1" customWidth="1"/>
    <col min="10813" max="10813" width="10.28515625" bestFit="1" customWidth="1"/>
    <col min="10814" max="10815" width="9.28515625" bestFit="1" customWidth="1"/>
    <col min="10817" max="10817" width="10.28515625" bestFit="1" customWidth="1"/>
    <col min="10818" max="10819" width="9.28515625" bestFit="1" customWidth="1"/>
    <col min="10821" max="10821" width="10.28515625" bestFit="1" customWidth="1"/>
    <col min="10822" max="10823" width="9.28515625" bestFit="1" customWidth="1"/>
    <col min="10825" max="10825" width="10.28515625" bestFit="1" customWidth="1"/>
    <col min="10826" max="10827" width="9.28515625" bestFit="1" customWidth="1"/>
    <col min="10829" max="10829" width="10.28515625" bestFit="1" customWidth="1"/>
    <col min="10830" max="10831" width="9.28515625" bestFit="1" customWidth="1"/>
    <col min="10833" max="10833" width="10.28515625" bestFit="1" customWidth="1"/>
    <col min="10834" max="10835" width="9.28515625" bestFit="1" customWidth="1"/>
    <col min="10837" max="10837" width="10.28515625" bestFit="1" customWidth="1"/>
    <col min="10838" max="10839" width="9.28515625" bestFit="1" customWidth="1"/>
    <col min="10841" max="10841" width="10.28515625" bestFit="1" customWidth="1"/>
    <col min="10842" max="10843" width="9.28515625" bestFit="1" customWidth="1"/>
    <col min="10845" max="10845" width="10.28515625" bestFit="1" customWidth="1"/>
    <col min="10846" max="10847" width="9.28515625" bestFit="1" customWidth="1"/>
    <col min="10849" max="10849" width="10.28515625" bestFit="1" customWidth="1"/>
    <col min="10850" max="10851" width="9.28515625" bestFit="1" customWidth="1"/>
    <col min="10853" max="10853" width="10.28515625" bestFit="1" customWidth="1"/>
    <col min="10854" max="10855" width="9.28515625" bestFit="1" customWidth="1"/>
    <col min="10857" max="10857" width="10.28515625" bestFit="1" customWidth="1"/>
    <col min="10858" max="10859" width="9.28515625" bestFit="1" customWidth="1"/>
    <col min="10861" max="10861" width="10.28515625" bestFit="1" customWidth="1"/>
    <col min="10862" max="10863" width="9.28515625" bestFit="1" customWidth="1"/>
    <col min="10865" max="10865" width="10.28515625" bestFit="1" customWidth="1"/>
    <col min="10866" max="10867" width="9.28515625" bestFit="1" customWidth="1"/>
    <col min="10869" max="10869" width="10.28515625" bestFit="1" customWidth="1"/>
    <col min="10870" max="10871" width="9.28515625" bestFit="1" customWidth="1"/>
    <col min="10873" max="10873" width="10.28515625" bestFit="1" customWidth="1"/>
    <col min="10874" max="10875" width="9.28515625" bestFit="1" customWidth="1"/>
    <col min="10877" max="10877" width="10.28515625" bestFit="1" customWidth="1"/>
    <col min="10878" max="10879" width="9.28515625" bestFit="1" customWidth="1"/>
    <col min="10881" max="10881" width="10.28515625" bestFit="1" customWidth="1"/>
    <col min="10882" max="10883" width="9.28515625" bestFit="1" customWidth="1"/>
    <col min="10885" max="10885" width="10.28515625" bestFit="1" customWidth="1"/>
    <col min="10886" max="10887" width="9.28515625" bestFit="1" customWidth="1"/>
    <col min="10889" max="10889" width="10.28515625" bestFit="1" customWidth="1"/>
    <col min="10890" max="10891" width="9.28515625" bestFit="1" customWidth="1"/>
    <col min="10893" max="10893" width="10.28515625" bestFit="1" customWidth="1"/>
    <col min="10894" max="10895" width="9.28515625" bestFit="1" customWidth="1"/>
    <col min="10897" max="10897" width="10.28515625" bestFit="1" customWidth="1"/>
    <col min="10898" max="10899" width="9.28515625" bestFit="1" customWidth="1"/>
    <col min="10901" max="10901" width="10.28515625" bestFit="1" customWidth="1"/>
    <col min="10902" max="10903" width="9.28515625" bestFit="1" customWidth="1"/>
    <col min="10905" max="10905" width="10.28515625" bestFit="1" customWidth="1"/>
    <col min="10906" max="10907" width="9.28515625" bestFit="1" customWidth="1"/>
    <col min="10909" max="10909" width="10.28515625" bestFit="1" customWidth="1"/>
    <col min="10910" max="10911" width="9.28515625" bestFit="1" customWidth="1"/>
    <col min="10913" max="10913" width="10.28515625" bestFit="1" customWidth="1"/>
    <col min="10914" max="10915" width="9.28515625" bestFit="1" customWidth="1"/>
    <col min="10917" max="10917" width="10.28515625" bestFit="1" customWidth="1"/>
    <col min="10918" max="10919" width="9.28515625" bestFit="1" customWidth="1"/>
    <col min="10921" max="10921" width="10.28515625" bestFit="1" customWidth="1"/>
    <col min="10922" max="10923" width="9.28515625" bestFit="1" customWidth="1"/>
    <col min="10925" max="10925" width="10.28515625" bestFit="1" customWidth="1"/>
    <col min="10926" max="10927" width="9.28515625" bestFit="1" customWidth="1"/>
    <col min="10929" max="10929" width="10.28515625" bestFit="1" customWidth="1"/>
    <col min="10930" max="10931" width="9.28515625" bestFit="1" customWidth="1"/>
    <col min="10933" max="10933" width="10.28515625" bestFit="1" customWidth="1"/>
    <col min="10934" max="10935" width="9.28515625" bestFit="1" customWidth="1"/>
    <col min="10937" max="10937" width="10.28515625" bestFit="1" customWidth="1"/>
    <col min="10938" max="10939" width="9.28515625" bestFit="1" customWidth="1"/>
    <col min="10941" max="10941" width="10.28515625" bestFit="1" customWidth="1"/>
    <col min="10942" max="10943" width="9.28515625" bestFit="1" customWidth="1"/>
    <col min="10945" max="10945" width="10.28515625" bestFit="1" customWidth="1"/>
    <col min="10946" max="10947" width="9.28515625" bestFit="1" customWidth="1"/>
    <col min="10949" max="10949" width="10.28515625" bestFit="1" customWidth="1"/>
    <col min="10950" max="10951" width="9.28515625" bestFit="1" customWidth="1"/>
    <col min="10953" max="10953" width="10.28515625" bestFit="1" customWidth="1"/>
    <col min="10954" max="10955" width="9.28515625" bestFit="1" customWidth="1"/>
    <col min="10957" max="10957" width="10.28515625" bestFit="1" customWidth="1"/>
    <col min="10958" max="10959" width="9.28515625" bestFit="1" customWidth="1"/>
    <col min="10961" max="10961" width="10.28515625" bestFit="1" customWidth="1"/>
    <col min="10962" max="10963" width="9.28515625" bestFit="1" customWidth="1"/>
    <col min="10965" max="10965" width="10.28515625" bestFit="1" customWidth="1"/>
    <col min="10966" max="10967" width="9.28515625" bestFit="1" customWidth="1"/>
    <col min="10969" max="10969" width="10.28515625" bestFit="1" customWidth="1"/>
    <col min="10970" max="10971" width="9.28515625" bestFit="1" customWidth="1"/>
    <col min="10973" max="10973" width="10.28515625" bestFit="1" customWidth="1"/>
    <col min="10974" max="10975" width="9.28515625" bestFit="1" customWidth="1"/>
    <col min="10977" max="10977" width="10.28515625" bestFit="1" customWidth="1"/>
    <col min="10978" max="10979" width="9.28515625" bestFit="1" customWidth="1"/>
    <col min="10981" max="10981" width="10.28515625" bestFit="1" customWidth="1"/>
    <col min="10982" max="10983" width="9.28515625" bestFit="1" customWidth="1"/>
    <col min="10985" max="10985" width="10.28515625" bestFit="1" customWidth="1"/>
    <col min="10986" max="10987" width="9.28515625" bestFit="1" customWidth="1"/>
    <col min="10989" max="10989" width="10.28515625" bestFit="1" customWidth="1"/>
    <col min="10990" max="10991" width="9.28515625" bestFit="1" customWidth="1"/>
    <col min="10993" max="10993" width="10.28515625" bestFit="1" customWidth="1"/>
    <col min="10994" max="10995" width="9.28515625" bestFit="1" customWidth="1"/>
    <col min="10997" max="10997" width="10.28515625" bestFit="1" customWidth="1"/>
    <col min="10998" max="10999" width="9.28515625" bestFit="1" customWidth="1"/>
    <col min="11001" max="11001" width="10.28515625" bestFit="1" customWidth="1"/>
    <col min="11002" max="11003" width="9.28515625" bestFit="1" customWidth="1"/>
    <col min="11005" max="11005" width="10.28515625" bestFit="1" customWidth="1"/>
    <col min="11006" max="11007" width="9.28515625" bestFit="1" customWidth="1"/>
    <col min="11009" max="11009" width="10.28515625" bestFit="1" customWidth="1"/>
    <col min="11010" max="11011" width="9.28515625" bestFit="1" customWidth="1"/>
    <col min="11013" max="11013" width="10.28515625" bestFit="1" customWidth="1"/>
    <col min="11014" max="11015" width="9.28515625" bestFit="1" customWidth="1"/>
    <col min="11017" max="11017" width="10.28515625" bestFit="1" customWidth="1"/>
    <col min="11018" max="11019" width="9.28515625" bestFit="1" customWidth="1"/>
    <col min="11021" max="11021" width="10.28515625" bestFit="1" customWidth="1"/>
    <col min="11022" max="11023" width="9.28515625" bestFit="1" customWidth="1"/>
    <col min="11025" max="11025" width="10.28515625" bestFit="1" customWidth="1"/>
    <col min="11026" max="11027" width="9.28515625" bestFit="1" customWidth="1"/>
    <col min="11029" max="11029" width="10.28515625" bestFit="1" customWidth="1"/>
    <col min="11030" max="11031" width="9.28515625" bestFit="1" customWidth="1"/>
    <col min="11033" max="11033" width="10.28515625" bestFit="1" customWidth="1"/>
    <col min="11034" max="11035" width="9.28515625" bestFit="1" customWidth="1"/>
    <col min="11037" max="11037" width="10.28515625" bestFit="1" customWidth="1"/>
    <col min="11038" max="11039" width="9.28515625" bestFit="1" customWidth="1"/>
    <col min="11041" max="11041" width="10.28515625" bestFit="1" customWidth="1"/>
    <col min="11042" max="11043" width="9.28515625" bestFit="1" customWidth="1"/>
    <col min="11045" max="11045" width="10.28515625" bestFit="1" customWidth="1"/>
    <col min="11046" max="11047" width="9.28515625" bestFit="1" customWidth="1"/>
    <col min="11049" max="11049" width="10.28515625" bestFit="1" customWidth="1"/>
    <col min="11050" max="11051" width="9.28515625" bestFit="1" customWidth="1"/>
    <col min="11053" max="11053" width="10.28515625" bestFit="1" customWidth="1"/>
    <col min="11054" max="11055" width="9.28515625" bestFit="1" customWidth="1"/>
    <col min="11057" max="11057" width="10.28515625" bestFit="1" customWidth="1"/>
    <col min="11058" max="11059" width="9.28515625" bestFit="1" customWidth="1"/>
    <col min="11061" max="11061" width="10.28515625" bestFit="1" customWidth="1"/>
    <col min="11062" max="11063" width="9.28515625" bestFit="1" customWidth="1"/>
    <col min="11065" max="11065" width="10.28515625" bestFit="1" customWidth="1"/>
    <col min="11066" max="11067" width="9.28515625" bestFit="1" customWidth="1"/>
    <col min="11069" max="11069" width="10.28515625" bestFit="1" customWidth="1"/>
    <col min="11070" max="11071" width="9.28515625" bestFit="1" customWidth="1"/>
    <col min="11073" max="11073" width="10.28515625" bestFit="1" customWidth="1"/>
    <col min="11074" max="11075" width="9.28515625" bestFit="1" customWidth="1"/>
    <col min="11077" max="11077" width="10.28515625" bestFit="1" customWidth="1"/>
    <col min="11078" max="11079" width="9.28515625" bestFit="1" customWidth="1"/>
    <col min="11081" max="11081" width="10.28515625" bestFit="1" customWidth="1"/>
    <col min="11082" max="11083" width="9.28515625" bestFit="1" customWidth="1"/>
    <col min="11085" max="11085" width="10.28515625" bestFit="1" customWidth="1"/>
    <col min="11086" max="11087" width="9.28515625" bestFit="1" customWidth="1"/>
    <col min="11089" max="11089" width="10.28515625" bestFit="1" customWidth="1"/>
    <col min="11090" max="11091" width="9.28515625" bestFit="1" customWidth="1"/>
    <col min="11093" max="11093" width="10.28515625" bestFit="1" customWidth="1"/>
    <col min="11094" max="11095" width="9.28515625" bestFit="1" customWidth="1"/>
    <col min="11097" max="11097" width="10.28515625" bestFit="1" customWidth="1"/>
    <col min="11098" max="11099" width="9.28515625" bestFit="1" customWidth="1"/>
    <col min="11101" max="11101" width="10.28515625" bestFit="1" customWidth="1"/>
    <col min="11102" max="11103" width="9.28515625" bestFit="1" customWidth="1"/>
    <col min="11105" max="11105" width="10.28515625" bestFit="1" customWidth="1"/>
    <col min="11106" max="11107" width="9.28515625" bestFit="1" customWidth="1"/>
    <col min="11109" max="11109" width="10.28515625" bestFit="1" customWidth="1"/>
    <col min="11110" max="11111" width="9.28515625" bestFit="1" customWidth="1"/>
    <col min="11113" max="11113" width="10.28515625" bestFit="1" customWidth="1"/>
    <col min="11114" max="11115" width="9.28515625" bestFit="1" customWidth="1"/>
    <col min="11117" max="11117" width="10.28515625" bestFit="1" customWidth="1"/>
    <col min="11118" max="11119" width="9.28515625" bestFit="1" customWidth="1"/>
    <col min="11121" max="11121" width="10.28515625" bestFit="1" customWidth="1"/>
    <col min="11122" max="11123" width="9.28515625" bestFit="1" customWidth="1"/>
    <col min="11125" max="11125" width="10.28515625" bestFit="1" customWidth="1"/>
    <col min="11126" max="11127" width="9.28515625" bestFit="1" customWidth="1"/>
    <col min="11129" max="11129" width="10.28515625" bestFit="1" customWidth="1"/>
    <col min="11130" max="11131" width="9.28515625" bestFit="1" customWidth="1"/>
    <col min="11133" max="11133" width="10.28515625" bestFit="1" customWidth="1"/>
    <col min="11134" max="11135" width="9.28515625" bestFit="1" customWidth="1"/>
    <col min="11137" max="11137" width="10.28515625" bestFit="1" customWidth="1"/>
    <col min="11138" max="11139" width="9.28515625" bestFit="1" customWidth="1"/>
    <col min="11141" max="11141" width="10.28515625" bestFit="1" customWidth="1"/>
    <col min="11142" max="11143" width="9.28515625" bestFit="1" customWidth="1"/>
    <col min="11145" max="11145" width="10.28515625" bestFit="1" customWidth="1"/>
    <col min="11146" max="11147" width="9.28515625" bestFit="1" customWidth="1"/>
    <col min="11149" max="11149" width="10.28515625" bestFit="1" customWidth="1"/>
    <col min="11150" max="11151" width="9.28515625" bestFit="1" customWidth="1"/>
    <col min="11153" max="11153" width="10.28515625" bestFit="1" customWidth="1"/>
    <col min="11154" max="11155" width="9.28515625" bestFit="1" customWidth="1"/>
    <col min="11157" max="11157" width="10.28515625" bestFit="1" customWidth="1"/>
    <col min="11158" max="11159" width="9.28515625" bestFit="1" customWidth="1"/>
    <col min="11161" max="11161" width="10.28515625" bestFit="1" customWidth="1"/>
    <col min="11162" max="11163" width="9.28515625" bestFit="1" customWidth="1"/>
    <col min="11165" max="11165" width="10.28515625" bestFit="1" customWidth="1"/>
    <col min="11166" max="11167" width="9.28515625" bestFit="1" customWidth="1"/>
    <col min="11169" max="11169" width="10.28515625" bestFit="1" customWidth="1"/>
    <col min="11170" max="11171" width="9.28515625" bestFit="1" customWidth="1"/>
    <col min="11173" max="11173" width="10.28515625" bestFit="1" customWidth="1"/>
    <col min="11174" max="11175" width="9.28515625" bestFit="1" customWidth="1"/>
    <col min="11177" max="11177" width="10.28515625" bestFit="1" customWidth="1"/>
    <col min="11178" max="11179" width="9.28515625" bestFit="1" customWidth="1"/>
    <col min="11181" max="11181" width="10.28515625" bestFit="1" customWidth="1"/>
    <col min="11182" max="11183" width="9.28515625" bestFit="1" customWidth="1"/>
    <col min="11185" max="11185" width="10.28515625" bestFit="1" customWidth="1"/>
    <col min="11186" max="11187" width="9.28515625" bestFit="1" customWidth="1"/>
    <col min="11189" max="11189" width="10.28515625" bestFit="1" customWidth="1"/>
    <col min="11190" max="11191" width="9.28515625" bestFit="1" customWidth="1"/>
    <col min="11193" max="11193" width="10.28515625" bestFit="1" customWidth="1"/>
    <col min="11194" max="11195" width="9.28515625" bestFit="1" customWidth="1"/>
    <col min="11197" max="11197" width="10.28515625" bestFit="1" customWidth="1"/>
    <col min="11198" max="11199" width="9.28515625" bestFit="1" customWidth="1"/>
    <col min="11201" max="11201" width="10.28515625" bestFit="1" customWidth="1"/>
    <col min="11202" max="11203" width="9.28515625" bestFit="1" customWidth="1"/>
    <col min="11205" max="11205" width="10.28515625" bestFit="1" customWidth="1"/>
    <col min="11206" max="11207" width="9.28515625" bestFit="1" customWidth="1"/>
    <col min="11209" max="11209" width="10.28515625" bestFit="1" customWidth="1"/>
    <col min="11210" max="11211" width="9.28515625" bestFit="1" customWidth="1"/>
    <col min="11213" max="11213" width="10.28515625" bestFit="1" customWidth="1"/>
    <col min="11214" max="11215" width="9.28515625" bestFit="1" customWidth="1"/>
    <col min="11217" max="11217" width="10.28515625" bestFit="1" customWidth="1"/>
    <col min="11218" max="11219" width="9.28515625" bestFit="1" customWidth="1"/>
    <col min="11221" max="11221" width="10.28515625" bestFit="1" customWidth="1"/>
    <col min="11222" max="11223" width="9.28515625" bestFit="1" customWidth="1"/>
    <col min="11225" max="11225" width="10.28515625" bestFit="1" customWidth="1"/>
    <col min="11226" max="11227" width="9.28515625" bestFit="1" customWidth="1"/>
    <col min="11229" max="11229" width="10.28515625" bestFit="1" customWidth="1"/>
    <col min="11230" max="11231" width="9.28515625" bestFit="1" customWidth="1"/>
    <col min="11233" max="11233" width="10.28515625" bestFit="1" customWidth="1"/>
    <col min="11234" max="11235" width="9.28515625" bestFit="1" customWidth="1"/>
    <col min="11237" max="11237" width="10.28515625" bestFit="1" customWidth="1"/>
    <col min="11238" max="11239" width="9.28515625" bestFit="1" customWidth="1"/>
    <col min="11241" max="11241" width="10.28515625" bestFit="1" customWidth="1"/>
    <col min="11242" max="11243" width="9.28515625" bestFit="1" customWidth="1"/>
    <col min="11245" max="11245" width="10.28515625" bestFit="1" customWidth="1"/>
    <col min="11246" max="11247" width="9.28515625" bestFit="1" customWidth="1"/>
    <col min="11249" max="11249" width="10.28515625" bestFit="1" customWidth="1"/>
    <col min="11250" max="11251" width="9.28515625" bestFit="1" customWidth="1"/>
    <col min="11253" max="11253" width="10.28515625" bestFit="1" customWidth="1"/>
    <col min="11254" max="11255" width="9.28515625" bestFit="1" customWidth="1"/>
    <col min="11257" max="11257" width="10.28515625" bestFit="1" customWidth="1"/>
    <col min="11258" max="11259" width="9.28515625" bestFit="1" customWidth="1"/>
    <col min="11261" max="11261" width="10.28515625" bestFit="1" customWidth="1"/>
    <col min="11262" max="11263" width="9.28515625" bestFit="1" customWidth="1"/>
    <col min="11265" max="11265" width="10.28515625" bestFit="1" customWidth="1"/>
    <col min="11266" max="11267" width="9.28515625" bestFit="1" customWidth="1"/>
    <col min="11269" max="11269" width="10.28515625" bestFit="1" customWidth="1"/>
    <col min="11270" max="11271" width="9.28515625" bestFit="1" customWidth="1"/>
    <col min="11273" max="11273" width="10.28515625" bestFit="1" customWidth="1"/>
    <col min="11274" max="11275" width="9.28515625" bestFit="1" customWidth="1"/>
    <col min="11277" max="11277" width="10.28515625" bestFit="1" customWidth="1"/>
    <col min="11278" max="11279" width="9.28515625" bestFit="1" customWidth="1"/>
    <col min="11281" max="11281" width="10.28515625" bestFit="1" customWidth="1"/>
    <col min="11282" max="11283" width="9.28515625" bestFit="1" customWidth="1"/>
    <col min="11285" max="11285" width="10.28515625" bestFit="1" customWidth="1"/>
    <col min="11286" max="11287" width="9.28515625" bestFit="1" customWidth="1"/>
    <col min="11289" max="11289" width="10.28515625" bestFit="1" customWidth="1"/>
    <col min="11290" max="11291" width="9.28515625" bestFit="1" customWidth="1"/>
    <col min="11293" max="11293" width="10.28515625" bestFit="1" customWidth="1"/>
    <col min="11294" max="11295" width="9.28515625" bestFit="1" customWidth="1"/>
    <col min="11297" max="11297" width="10.28515625" bestFit="1" customWidth="1"/>
    <col min="11298" max="11299" width="9.28515625" bestFit="1" customWidth="1"/>
    <col min="11301" max="11301" width="10.28515625" bestFit="1" customWidth="1"/>
    <col min="11302" max="11303" width="9.28515625" bestFit="1" customWidth="1"/>
    <col min="11305" max="11305" width="10.28515625" bestFit="1" customWidth="1"/>
    <col min="11306" max="11307" width="9.28515625" bestFit="1" customWidth="1"/>
    <col min="11309" max="11309" width="10.28515625" bestFit="1" customWidth="1"/>
    <col min="11310" max="11311" width="9.28515625" bestFit="1" customWidth="1"/>
    <col min="11313" max="11313" width="10.28515625" bestFit="1" customWidth="1"/>
    <col min="11314" max="11315" width="9.28515625" bestFit="1" customWidth="1"/>
    <col min="11317" max="11317" width="10.28515625" bestFit="1" customWidth="1"/>
    <col min="11318" max="11319" width="9.28515625" bestFit="1" customWidth="1"/>
    <col min="11321" max="11321" width="10.28515625" bestFit="1" customWidth="1"/>
    <col min="11322" max="11323" width="9.28515625" bestFit="1" customWidth="1"/>
    <col min="11325" max="11325" width="10.28515625" bestFit="1" customWidth="1"/>
    <col min="11326" max="11327" width="9.28515625" bestFit="1" customWidth="1"/>
    <col min="11329" max="11329" width="10.28515625" bestFit="1" customWidth="1"/>
    <col min="11330" max="11331" width="9.28515625" bestFit="1" customWidth="1"/>
    <col min="11333" max="11333" width="10.28515625" bestFit="1" customWidth="1"/>
    <col min="11334" max="11335" width="9.28515625" bestFit="1" customWidth="1"/>
    <col min="11337" max="11337" width="10.28515625" bestFit="1" customWidth="1"/>
    <col min="11338" max="11339" width="9.28515625" bestFit="1" customWidth="1"/>
    <col min="11341" max="11341" width="10.28515625" bestFit="1" customWidth="1"/>
    <col min="11342" max="11343" width="9.28515625" bestFit="1" customWidth="1"/>
    <col min="11345" max="11345" width="10.28515625" bestFit="1" customWidth="1"/>
    <col min="11346" max="11347" width="9.28515625" bestFit="1" customWidth="1"/>
    <col min="11349" max="11349" width="10.28515625" bestFit="1" customWidth="1"/>
    <col min="11350" max="11351" width="9.28515625" bestFit="1" customWidth="1"/>
    <col min="11353" max="11353" width="10.28515625" bestFit="1" customWidth="1"/>
    <col min="11354" max="11355" width="9.28515625" bestFit="1" customWidth="1"/>
    <col min="11357" max="11357" width="10.28515625" bestFit="1" customWidth="1"/>
    <col min="11358" max="11359" width="9.28515625" bestFit="1" customWidth="1"/>
    <col min="11361" max="11361" width="10.28515625" bestFit="1" customWidth="1"/>
    <col min="11362" max="11363" width="9.28515625" bestFit="1" customWidth="1"/>
    <col min="11365" max="11365" width="10.28515625" bestFit="1" customWidth="1"/>
    <col min="11366" max="11367" width="9.28515625" bestFit="1" customWidth="1"/>
    <col min="11369" max="11369" width="10.28515625" bestFit="1" customWidth="1"/>
    <col min="11370" max="11371" width="9.28515625" bestFit="1" customWidth="1"/>
    <col min="11373" max="11373" width="10.28515625" bestFit="1" customWidth="1"/>
    <col min="11374" max="11375" width="9.28515625" bestFit="1" customWidth="1"/>
    <col min="11377" max="11377" width="10.28515625" bestFit="1" customWidth="1"/>
    <col min="11378" max="11379" width="9.28515625" bestFit="1" customWidth="1"/>
    <col min="11381" max="11381" width="10.28515625" bestFit="1" customWidth="1"/>
    <col min="11382" max="11383" width="9.28515625" bestFit="1" customWidth="1"/>
    <col min="11385" max="11385" width="10.28515625" bestFit="1" customWidth="1"/>
    <col min="11386" max="11387" width="9.28515625" bestFit="1" customWidth="1"/>
    <col min="11389" max="11389" width="10.28515625" bestFit="1" customWidth="1"/>
    <col min="11390" max="11391" width="9.28515625" bestFit="1" customWidth="1"/>
    <col min="11393" max="11393" width="10.28515625" bestFit="1" customWidth="1"/>
    <col min="11394" max="11395" width="9.28515625" bestFit="1" customWidth="1"/>
    <col min="11397" max="11397" width="10.28515625" bestFit="1" customWidth="1"/>
    <col min="11398" max="11399" width="9.28515625" bestFit="1" customWidth="1"/>
    <col min="11401" max="11401" width="10.28515625" bestFit="1" customWidth="1"/>
    <col min="11402" max="11403" width="9.28515625" bestFit="1" customWidth="1"/>
    <col min="11405" max="11405" width="10.28515625" bestFit="1" customWidth="1"/>
    <col min="11406" max="11407" width="9.28515625" bestFit="1" customWidth="1"/>
    <col min="11409" max="11409" width="10.28515625" bestFit="1" customWidth="1"/>
    <col min="11410" max="11411" width="9.28515625" bestFit="1" customWidth="1"/>
    <col min="11413" max="11413" width="10.28515625" bestFit="1" customWidth="1"/>
    <col min="11414" max="11415" width="9.28515625" bestFit="1" customWidth="1"/>
    <col min="11417" max="11417" width="10.28515625" bestFit="1" customWidth="1"/>
    <col min="11418" max="11419" width="9.28515625" bestFit="1" customWidth="1"/>
    <col min="11421" max="11421" width="10.28515625" bestFit="1" customWidth="1"/>
    <col min="11422" max="11423" width="9.28515625" bestFit="1" customWidth="1"/>
    <col min="11425" max="11425" width="10.28515625" bestFit="1" customWidth="1"/>
    <col min="11426" max="11427" width="9.28515625" bestFit="1" customWidth="1"/>
    <col min="11429" max="11429" width="10.28515625" bestFit="1" customWidth="1"/>
    <col min="11430" max="11431" width="9.28515625" bestFit="1" customWidth="1"/>
    <col min="11433" max="11433" width="10.28515625" bestFit="1" customWidth="1"/>
    <col min="11434" max="11435" width="9.28515625" bestFit="1" customWidth="1"/>
    <col min="11437" max="11437" width="10.28515625" bestFit="1" customWidth="1"/>
    <col min="11438" max="11439" width="9.28515625" bestFit="1" customWidth="1"/>
    <col min="11441" max="11441" width="10.28515625" bestFit="1" customWidth="1"/>
    <col min="11442" max="11443" width="9.28515625" bestFit="1" customWidth="1"/>
    <col min="11445" max="11445" width="10.28515625" bestFit="1" customWidth="1"/>
    <col min="11446" max="11447" width="9.28515625" bestFit="1" customWidth="1"/>
    <col min="11449" max="11449" width="10.28515625" bestFit="1" customWidth="1"/>
    <col min="11450" max="11451" width="9.28515625" bestFit="1" customWidth="1"/>
    <col min="11453" max="11453" width="10.28515625" bestFit="1" customWidth="1"/>
    <col min="11454" max="11455" width="9.28515625" bestFit="1" customWidth="1"/>
    <col min="11457" max="11457" width="10.28515625" bestFit="1" customWidth="1"/>
    <col min="11458" max="11459" width="9.28515625" bestFit="1" customWidth="1"/>
    <col min="11461" max="11461" width="10.28515625" bestFit="1" customWidth="1"/>
    <col min="11462" max="11463" width="9.28515625" bestFit="1" customWidth="1"/>
    <col min="11465" max="11465" width="10.28515625" bestFit="1" customWidth="1"/>
    <col min="11466" max="11467" width="9.28515625" bestFit="1" customWidth="1"/>
    <col min="11469" max="11469" width="10.28515625" bestFit="1" customWidth="1"/>
    <col min="11470" max="11471" width="9.28515625" bestFit="1" customWidth="1"/>
    <col min="11473" max="11473" width="10.28515625" bestFit="1" customWidth="1"/>
    <col min="11474" max="11475" width="9.28515625" bestFit="1" customWidth="1"/>
    <col min="11477" max="11477" width="10.28515625" bestFit="1" customWidth="1"/>
    <col min="11478" max="11479" width="9.28515625" bestFit="1" customWidth="1"/>
    <col min="11481" max="11481" width="10.28515625" bestFit="1" customWidth="1"/>
    <col min="11482" max="11483" width="9.28515625" bestFit="1" customWidth="1"/>
    <col min="11485" max="11485" width="10.28515625" bestFit="1" customWidth="1"/>
    <col min="11486" max="11487" width="9.28515625" bestFit="1" customWidth="1"/>
    <col min="11489" max="11489" width="10.28515625" bestFit="1" customWidth="1"/>
    <col min="11490" max="11491" width="9.28515625" bestFit="1" customWidth="1"/>
    <col min="11493" max="11493" width="10.28515625" bestFit="1" customWidth="1"/>
    <col min="11494" max="11495" width="9.28515625" bestFit="1" customWidth="1"/>
    <col min="11497" max="11497" width="10.28515625" bestFit="1" customWidth="1"/>
    <col min="11498" max="11499" width="9.28515625" bestFit="1" customWidth="1"/>
    <col min="11501" max="11501" width="10.28515625" bestFit="1" customWidth="1"/>
    <col min="11502" max="11503" width="9.28515625" bestFit="1" customWidth="1"/>
    <col min="11505" max="11505" width="10.28515625" bestFit="1" customWidth="1"/>
    <col min="11506" max="11507" width="9.28515625" bestFit="1" customWidth="1"/>
    <col min="11509" max="11509" width="10.28515625" bestFit="1" customWidth="1"/>
    <col min="11510" max="11511" width="9.28515625" bestFit="1" customWidth="1"/>
    <col min="11513" max="11513" width="10.28515625" bestFit="1" customWidth="1"/>
    <col min="11514" max="11515" width="9.28515625" bestFit="1" customWidth="1"/>
    <col min="11517" max="11517" width="10.28515625" bestFit="1" customWidth="1"/>
    <col min="11518" max="11519" width="9.28515625" bestFit="1" customWidth="1"/>
    <col min="11521" max="11521" width="10.28515625" bestFit="1" customWidth="1"/>
    <col min="11522" max="11523" width="9.28515625" bestFit="1" customWidth="1"/>
    <col min="11525" max="11525" width="10.28515625" bestFit="1" customWidth="1"/>
    <col min="11526" max="11527" width="9.28515625" bestFit="1" customWidth="1"/>
    <col min="11529" max="11529" width="10.28515625" bestFit="1" customWidth="1"/>
    <col min="11530" max="11531" width="9.28515625" bestFit="1" customWidth="1"/>
    <col min="11533" max="11533" width="10.28515625" bestFit="1" customWidth="1"/>
    <col min="11534" max="11535" width="9.28515625" bestFit="1" customWidth="1"/>
    <col min="11537" max="11537" width="10.28515625" bestFit="1" customWidth="1"/>
    <col min="11538" max="11539" width="9.28515625" bestFit="1" customWidth="1"/>
    <col min="11541" max="11541" width="10.28515625" bestFit="1" customWidth="1"/>
    <col min="11542" max="11543" width="9.28515625" bestFit="1" customWidth="1"/>
    <col min="11545" max="11545" width="10.28515625" bestFit="1" customWidth="1"/>
    <col min="11546" max="11547" width="9.28515625" bestFit="1" customWidth="1"/>
    <col min="11549" max="11549" width="10.28515625" bestFit="1" customWidth="1"/>
    <col min="11550" max="11551" width="9.28515625" bestFit="1" customWidth="1"/>
    <col min="11553" max="11553" width="10.28515625" bestFit="1" customWidth="1"/>
    <col min="11554" max="11555" width="9.28515625" bestFit="1" customWidth="1"/>
    <col min="11557" max="11557" width="10.28515625" bestFit="1" customWidth="1"/>
    <col min="11558" max="11559" width="9.28515625" bestFit="1" customWidth="1"/>
    <col min="11561" max="11561" width="10.28515625" bestFit="1" customWidth="1"/>
    <col min="11562" max="11563" width="9.28515625" bestFit="1" customWidth="1"/>
    <col min="11565" max="11565" width="10.28515625" bestFit="1" customWidth="1"/>
    <col min="11566" max="11567" width="9.28515625" bestFit="1" customWidth="1"/>
    <col min="11569" max="11569" width="10.28515625" bestFit="1" customWidth="1"/>
    <col min="11570" max="11571" width="9.28515625" bestFit="1" customWidth="1"/>
    <col min="11573" max="11573" width="10.28515625" bestFit="1" customWidth="1"/>
    <col min="11574" max="11575" width="9.28515625" bestFit="1" customWidth="1"/>
    <col min="11577" max="11577" width="10.28515625" bestFit="1" customWidth="1"/>
    <col min="11578" max="11579" width="9.28515625" bestFit="1" customWidth="1"/>
    <col min="11581" max="11581" width="10.28515625" bestFit="1" customWidth="1"/>
    <col min="11582" max="11583" width="9.28515625" bestFit="1" customWidth="1"/>
    <col min="11585" max="11585" width="10.28515625" bestFit="1" customWidth="1"/>
    <col min="11586" max="11587" width="9.28515625" bestFit="1" customWidth="1"/>
    <col min="11589" max="11589" width="10.28515625" bestFit="1" customWidth="1"/>
    <col min="11590" max="11591" width="9.28515625" bestFit="1" customWidth="1"/>
    <col min="11593" max="11593" width="10.28515625" bestFit="1" customWidth="1"/>
    <col min="11594" max="11595" width="9.28515625" bestFit="1" customWidth="1"/>
    <col min="11597" max="11597" width="10.28515625" bestFit="1" customWidth="1"/>
    <col min="11598" max="11599" width="9.28515625" bestFit="1" customWidth="1"/>
    <col min="11601" max="11601" width="10.28515625" bestFit="1" customWidth="1"/>
    <col min="11602" max="11603" width="9.28515625" bestFit="1" customWidth="1"/>
    <col min="11605" max="11605" width="10.28515625" bestFit="1" customWidth="1"/>
    <col min="11606" max="11607" width="9.28515625" bestFit="1" customWidth="1"/>
    <col min="11609" max="11609" width="10.28515625" bestFit="1" customWidth="1"/>
    <col min="11610" max="11611" width="9.28515625" bestFit="1" customWidth="1"/>
    <col min="11613" max="11613" width="10.28515625" bestFit="1" customWidth="1"/>
    <col min="11614" max="11615" width="9.28515625" bestFit="1" customWidth="1"/>
    <col min="11617" max="11617" width="10.28515625" bestFit="1" customWidth="1"/>
    <col min="11618" max="11619" width="9.28515625" bestFit="1" customWidth="1"/>
    <col min="11621" max="11621" width="10.28515625" bestFit="1" customWidth="1"/>
    <col min="11622" max="11623" width="9.28515625" bestFit="1" customWidth="1"/>
    <col min="11625" max="11625" width="10.28515625" bestFit="1" customWidth="1"/>
    <col min="11626" max="11627" width="9.28515625" bestFit="1" customWidth="1"/>
    <col min="11629" max="11629" width="10.28515625" bestFit="1" customWidth="1"/>
    <col min="11630" max="11631" width="9.28515625" bestFit="1" customWidth="1"/>
    <col min="11633" max="11633" width="10.28515625" bestFit="1" customWidth="1"/>
    <col min="11634" max="11635" width="9.28515625" bestFit="1" customWidth="1"/>
    <col min="11637" max="11637" width="10.28515625" bestFit="1" customWidth="1"/>
    <col min="11638" max="11639" width="9.28515625" bestFit="1" customWidth="1"/>
    <col min="11641" max="11641" width="10.28515625" bestFit="1" customWidth="1"/>
    <col min="11642" max="11643" width="9.28515625" bestFit="1" customWidth="1"/>
    <col min="11645" max="11645" width="10.28515625" bestFit="1" customWidth="1"/>
    <col min="11646" max="11647" width="9.28515625" bestFit="1" customWidth="1"/>
    <col min="11649" max="11649" width="10.28515625" bestFit="1" customWidth="1"/>
    <col min="11650" max="11651" width="9.28515625" bestFit="1" customWidth="1"/>
    <col min="11653" max="11653" width="10.28515625" bestFit="1" customWidth="1"/>
    <col min="11654" max="11655" width="9.28515625" bestFit="1" customWidth="1"/>
    <col min="11657" max="11657" width="10.28515625" bestFit="1" customWidth="1"/>
    <col min="11658" max="11659" width="9.28515625" bestFit="1" customWidth="1"/>
    <col min="11661" max="11661" width="10.28515625" bestFit="1" customWidth="1"/>
    <col min="11662" max="11663" width="9.28515625" bestFit="1" customWidth="1"/>
    <col min="11665" max="11665" width="10.28515625" bestFit="1" customWidth="1"/>
    <col min="11666" max="11667" width="9.28515625" bestFit="1" customWidth="1"/>
    <col min="11669" max="11669" width="10.28515625" bestFit="1" customWidth="1"/>
    <col min="11670" max="11671" width="9.28515625" bestFit="1" customWidth="1"/>
    <col min="11673" max="11673" width="10.28515625" bestFit="1" customWidth="1"/>
    <col min="11674" max="11675" width="9.28515625" bestFit="1" customWidth="1"/>
    <col min="11677" max="11677" width="10.28515625" bestFit="1" customWidth="1"/>
    <col min="11678" max="11679" width="9.28515625" bestFit="1" customWidth="1"/>
    <col min="11681" max="11681" width="10.28515625" bestFit="1" customWidth="1"/>
    <col min="11682" max="11683" width="9.28515625" bestFit="1" customWidth="1"/>
    <col min="11685" max="11685" width="10.28515625" bestFit="1" customWidth="1"/>
    <col min="11686" max="11687" width="9.28515625" bestFit="1" customWidth="1"/>
    <col min="11689" max="11689" width="10.28515625" bestFit="1" customWidth="1"/>
    <col min="11690" max="11691" width="9.28515625" bestFit="1" customWidth="1"/>
    <col min="11693" max="11693" width="10.28515625" bestFit="1" customWidth="1"/>
    <col min="11694" max="11695" width="9.28515625" bestFit="1" customWidth="1"/>
    <col min="11697" max="11697" width="10.28515625" bestFit="1" customWidth="1"/>
    <col min="11698" max="11699" width="9.28515625" bestFit="1" customWidth="1"/>
    <col min="11701" max="11701" width="10.28515625" bestFit="1" customWidth="1"/>
    <col min="11702" max="11703" width="9.28515625" bestFit="1" customWidth="1"/>
    <col min="11705" max="11705" width="10.28515625" bestFit="1" customWidth="1"/>
    <col min="11706" max="11707" width="9.28515625" bestFit="1" customWidth="1"/>
    <col min="11709" max="11709" width="10.28515625" bestFit="1" customWidth="1"/>
    <col min="11710" max="11711" width="9.28515625" bestFit="1" customWidth="1"/>
    <col min="11713" max="11713" width="10.28515625" bestFit="1" customWidth="1"/>
    <col min="11714" max="11715" width="9.28515625" bestFit="1" customWidth="1"/>
    <col min="11717" max="11717" width="10.28515625" bestFit="1" customWidth="1"/>
    <col min="11718" max="11719" width="9.28515625" bestFit="1" customWidth="1"/>
    <col min="11721" max="11721" width="10.28515625" bestFit="1" customWidth="1"/>
    <col min="11722" max="11723" width="9.28515625" bestFit="1" customWidth="1"/>
    <col min="11725" max="11725" width="10.28515625" bestFit="1" customWidth="1"/>
    <col min="11726" max="11727" width="9.28515625" bestFit="1" customWidth="1"/>
    <col min="11729" max="11729" width="10.28515625" bestFit="1" customWidth="1"/>
    <col min="11730" max="11731" width="9.28515625" bestFit="1" customWidth="1"/>
    <col min="11733" max="11733" width="10.28515625" bestFit="1" customWidth="1"/>
    <col min="11734" max="11735" width="9.28515625" bestFit="1" customWidth="1"/>
    <col min="11737" max="11737" width="10.28515625" bestFit="1" customWidth="1"/>
    <col min="11738" max="11739" width="9.28515625" bestFit="1" customWidth="1"/>
    <col min="11741" max="11741" width="10.28515625" bestFit="1" customWidth="1"/>
    <col min="11742" max="11743" width="9.28515625" bestFit="1" customWidth="1"/>
    <col min="11745" max="11745" width="10.28515625" bestFit="1" customWidth="1"/>
    <col min="11746" max="11747" width="9.28515625" bestFit="1" customWidth="1"/>
    <col min="11749" max="11749" width="10.28515625" bestFit="1" customWidth="1"/>
    <col min="11750" max="11751" width="9.28515625" bestFit="1" customWidth="1"/>
    <col min="11753" max="11753" width="10.28515625" bestFit="1" customWidth="1"/>
    <col min="11754" max="11755" width="9.28515625" bestFit="1" customWidth="1"/>
    <col min="11757" max="11757" width="10.28515625" bestFit="1" customWidth="1"/>
    <col min="11758" max="11759" width="9.28515625" bestFit="1" customWidth="1"/>
    <col min="11761" max="11761" width="10.28515625" bestFit="1" customWidth="1"/>
    <col min="11762" max="11763" width="9.28515625" bestFit="1" customWidth="1"/>
    <col min="11765" max="11765" width="10.28515625" bestFit="1" customWidth="1"/>
    <col min="11766" max="11767" width="9.28515625" bestFit="1" customWidth="1"/>
    <col min="11769" max="11769" width="10.28515625" bestFit="1" customWidth="1"/>
    <col min="11770" max="11771" width="9.28515625" bestFit="1" customWidth="1"/>
    <col min="11773" max="11773" width="10.28515625" bestFit="1" customWidth="1"/>
    <col min="11774" max="11775" width="9.28515625" bestFit="1" customWidth="1"/>
    <col min="11777" max="11777" width="10.28515625" bestFit="1" customWidth="1"/>
    <col min="11778" max="11779" width="9.28515625" bestFit="1" customWidth="1"/>
    <col min="11781" max="11781" width="10.28515625" bestFit="1" customWidth="1"/>
    <col min="11782" max="11783" width="9.28515625" bestFit="1" customWidth="1"/>
    <col min="11785" max="11785" width="10.28515625" bestFit="1" customWidth="1"/>
    <col min="11786" max="11787" width="9.28515625" bestFit="1" customWidth="1"/>
    <col min="11789" max="11789" width="10.28515625" bestFit="1" customWidth="1"/>
    <col min="11790" max="11791" width="9.28515625" bestFit="1" customWidth="1"/>
    <col min="11793" max="11793" width="10.28515625" bestFit="1" customWidth="1"/>
    <col min="11794" max="11795" width="9.28515625" bestFit="1" customWidth="1"/>
    <col min="11797" max="11797" width="10.28515625" bestFit="1" customWidth="1"/>
    <col min="11798" max="11799" width="9.28515625" bestFit="1" customWidth="1"/>
    <col min="11801" max="11801" width="10.28515625" bestFit="1" customWidth="1"/>
    <col min="11802" max="11803" width="9.28515625" bestFit="1" customWidth="1"/>
    <col min="11805" max="11805" width="10.28515625" bestFit="1" customWidth="1"/>
    <col min="11806" max="11807" width="9.28515625" bestFit="1" customWidth="1"/>
    <col min="11809" max="11809" width="10.28515625" bestFit="1" customWidth="1"/>
    <col min="11810" max="11811" width="9.28515625" bestFit="1" customWidth="1"/>
    <col min="11813" max="11813" width="10.28515625" bestFit="1" customWidth="1"/>
    <col min="11814" max="11815" width="9.28515625" bestFit="1" customWidth="1"/>
    <col min="11817" max="11817" width="10.28515625" bestFit="1" customWidth="1"/>
    <col min="11818" max="11819" width="9.28515625" bestFit="1" customWidth="1"/>
    <col min="11821" max="11821" width="10.28515625" bestFit="1" customWidth="1"/>
    <col min="11822" max="11823" width="9.28515625" bestFit="1" customWidth="1"/>
    <col min="11825" max="11825" width="10.28515625" bestFit="1" customWidth="1"/>
    <col min="11826" max="11827" width="9.28515625" bestFit="1" customWidth="1"/>
    <col min="11829" max="11829" width="10.28515625" bestFit="1" customWidth="1"/>
    <col min="11830" max="11831" width="9.28515625" bestFit="1" customWidth="1"/>
    <col min="11833" max="11833" width="10.28515625" bestFit="1" customWidth="1"/>
    <col min="11834" max="11835" width="9.28515625" bestFit="1" customWidth="1"/>
    <col min="11837" max="11837" width="10.28515625" bestFit="1" customWidth="1"/>
    <col min="11838" max="11839" width="9.28515625" bestFit="1" customWidth="1"/>
    <col min="11841" max="11841" width="10.28515625" bestFit="1" customWidth="1"/>
    <col min="11842" max="11843" width="9.28515625" bestFit="1" customWidth="1"/>
    <col min="11845" max="11845" width="10.28515625" bestFit="1" customWidth="1"/>
    <col min="11846" max="11847" width="9.28515625" bestFit="1" customWidth="1"/>
    <col min="11849" max="11849" width="10.28515625" bestFit="1" customWidth="1"/>
    <col min="11850" max="11851" width="9.28515625" bestFit="1" customWidth="1"/>
    <col min="11853" max="11853" width="10.28515625" bestFit="1" customWidth="1"/>
    <col min="11854" max="11855" width="9.28515625" bestFit="1" customWidth="1"/>
    <col min="11857" max="11857" width="10.28515625" bestFit="1" customWidth="1"/>
    <col min="11858" max="11859" width="9.28515625" bestFit="1" customWidth="1"/>
    <col min="11861" max="11861" width="10.28515625" bestFit="1" customWidth="1"/>
    <col min="11862" max="11863" width="9.28515625" bestFit="1" customWidth="1"/>
    <col min="11865" max="11865" width="10.28515625" bestFit="1" customWidth="1"/>
    <col min="11866" max="11867" width="9.28515625" bestFit="1" customWidth="1"/>
    <col min="11869" max="11869" width="10.28515625" bestFit="1" customWidth="1"/>
    <col min="11870" max="11871" width="9.28515625" bestFit="1" customWidth="1"/>
    <col min="11873" max="11873" width="10.28515625" bestFit="1" customWidth="1"/>
    <col min="11874" max="11875" width="9.28515625" bestFit="1" customWidth="1"/>
    <col min="11877" max="11877" width="10.28515625" bestFit="1" customWidth="1"/>
    <col min="11878" max="11879" width="9.28515625" bestFit="1" customWidth="1"/>
    <col min="11881" max="11881" width="10.28515625" bestFit="1" customWidth="1"/>
    <col min="11882" max="11883" width="9.28515625" bestFit="1" customWidth="1"/>
    <col min="11885" max="11885" width="10.28515625" bestFit="1" customWidth="1"/>
    <col min="11886" max="11887" width="9.28515625" bestFit="1" customWidth="1"/>
    <col min="11889" max="11889" width="10.28515625" bestFit="1" customWidth="1"/>
    <col min="11890" max="11891" width="9.28515625" bestFit="1" customWidth="1"/>
    <col min="11893" max="11893" width="10.28515625" bestFit="1" customWidth="1"/>
    <col min="11894" max="11895" width="9.28515625" bestFit="1" customWidth="1"/>
    <col min="11897" max="11897" width="10.28515625" bestFit="1" customWidth="1"/>
    <col min="11898" max="11899" width="9.28515625" bestFit="1" customWidth="1"/>
    <col min="11901" max="11901" width="10.28515625" bestFit="1" customWidth="1"/>
    <col min="11902" max="11903" width="9.28515625" bestFit="1" customWidth="1"/>
    <col min="11905" max="11905" width="10.28515625" bestFit="1" customWidth="1"/>
    <col min="11906" max="11907" width="9.28515625" bestFit="1" customWidth="1"/>
    <col min="11909" max="11909" width="10.28515625" bestFit="1" customWidth="1"/>
    <col min="11910" max="11911" width="9.28515625" bestFit="1" customWidth="1"/>
    <col min="11913" max="11913" width="10.28515625" bestFit="1" customWidth="1"/>
    <col min="11914" max="11915" width="9.28515625" bestFit="1" customWidth="1"/>
    <col min="11917" max="11917" width="10.28515625" bestFit="1" customWidth="1"/>
    <col min="11918" max="11919" width="9.28515625" bestFit="1" customWidth="1"/>
    <col min="11921" max="11921" width="10.28515625" bestFit="1" customWidth="1"/>
    <col min="11922" max="11923" width="9.28515625" bestFit="1" customWidth="1"/>
    <col min="11925" max="11925" width="10.28515625" bestFit="1" customWidth="1"/>
    <col min="11926" max="11927" width="9.28515625" bestFit="1" customWidth="1"/>
    <col min="11929" max="11929" width="10.28515625" bestFit="1" customWidth="1"/>
    <col min="11930" max="11931" width="9.28515625" bestFit="1" customWidth="1"/>
    <col min="11933" max="11933" width="10.28515625" bestFit="1" customWidth="1"/>
    <col min="11934" max="11935" width="9.28515625" bestFit="1" customWidth="1"/>
    <col min="11937" max="11937" width="10.28515625" bestFit="1" customWidth="1"/>
    <col min="11938" max="11939" width="9.28515625" bestFit="1" customWidth="1"/>
    <col min="11941" max="11941" width="10.28515625" bestFit="1" customWidth="1"/>
    <col min="11942" max="11943" width="9.28515625" bestFit="1" customWidth="1"/>
    <col min="11945" max="11945" width="10.28515625" bestFit="1" customWidth="1"/>
    <col min="11946" max="11947" width="9.28515625" bestFit="1" customWidth="1"/>
    <col min="11949" max="11949" width="10.28515625" bestFit="1" customWidth="1"/>
    <col min="11950" max="11951" width="9.28515625" bestFit="1" customWidth="1"/>
    <col min="11953" max="11953" width="10.28515625" bestFit="1" customWidth="1"/>
    <col min="11954" max="11955" width="9.28515625" bestFit="1" customWidth="1"/>
    <col min="11957" max="11957" width="10.28515625" bestFit="1" customWidth="1"/>
    <col min="11958" max="11959" width="9.28515625" bestFit="1" customWidth="1"/>
    <col min="11961" max="11961" width="10.28515625" bestFit="1" customWidth="1"/>
    <col min="11962" max="11963" width="9.28515625" bestFit="1" customWidth="1"/>
    <col min="11965" max="11965" width="10.28515625" bestFit="1" customWidth="1"/>
    <col min="11966" max="11967" width="9.28515625" bestFit="1" customWidth="1"/>
    <col min="11969" max="11969" width="10.28515625" bestFit="1" customWidth="1"/>
    <col min="11970" max="11971" width="9.28515625" bestFit="1" customWidth="1"/>
    <col min="11973" max="11973" width="10.28515625" bestFit="1" customWidth="1"/>
    <col min="11974" max="11975" width="9.28515625" bestFit="1" customWidth="1"/>
    <col min="11977" max="11977" width="10.28515625" bestFit="1" customWidth="1"/>
    <col min="11978" max="11979" width="9.28515625" bestFit="1" customWidth="1"/>
    <col min="11981" max="11981" width="10.28515625" bestFit="1" customWidth="1"/>
    <col min="11982" max="11983" width="9.28515625" bestFit="1" customWidth="1"/>
    <col min="11985" max="11985" width="10.28515625" bestFit="1" customWidth="1"/>
    <col min="11986" max="11987" width="9.28515625" bestFit="1" customWidth="1"/>
    <col min="11989" max="11989" width="10.28515625" bestFit="1" customWidth="1"/>
    <col min="11990" max="11991" width="9.28515625" bestFit="1" customWidth="1"/>
    <col min="11993" max="11993" width="10.28515625" bestFit="1" customWidth="1"/>
    <col min="11994" max="11995" width="9.28515625" bestFit="1" customWidth="1"/>
    <col min="11997" max="11997" width="10.28515625" bestFit="1" customWidth="1"/>
    <col min="11998" max="11999" width="9.28515625" bestFit="1" customWidth="1"/>
    <col min="12001" max="12001" width="10.28515625" bestFit="1" customWidth="1"/>
    <col min="12002" max="12003" width="9.28515625" bestFit="1" customWidth="1"/>
    <col min="12005" max="12005" width="10.28515625" bestFit="1" customWidth="1"/>
    <col min="12006" max="12007" width="9.28515625" bestFit="1" customWidth="1"/>
    <col min="12009" max="12009" width="10.28515625" bestFit="1" customWidth="1"/>
    <col min="12010" max="12011" width="9.28515625" bestFit="1" customWidth="1"/>
    <col min="12013" max="12013" width="10.28515625" bestFit="1" customWidth="1"/>
    <col min="12014" max="12015" width="9.28515625" bestFit="1" customWidth="1"/>
    <col min="12017" max="12017" width="10.28515625" bestFit="1" customWidth="1"/>
    <col min="12018" max="12019" width="9.28515625" bestFit="1" customWidth="1"/>
    <col min="12021" max="12021" width="10.28515625" bestFit="1" customWidth="1"/>
    <col min="12022" max="12023" width="9.28515625" bestFit="1" customWidth="1"/>
    <col min="12025" max="12025" width="10.28515625" bestFit="1" customWidth="1"/>
    <col min="12026" max="12027" width="9.28515625" bestFit="1" customWidth="1"/>
    <col min="12029" max="12029" width="10.28515625" bestFit="1" customWidth="1"/>
    <col min="12030" max="12031" width="9.28515625" bestFit="1" customWidth="1"/>
    <col min="12033" max="12033" width="10.28515625" bestFit="1" customWidth="1"/>
    <col min="12034" max="12035" width="9.28515625" bestFit="1" customWidth="1"/>
    <col min="12037" max="12037" width="10.28515625" bestFit="1" customWidth="1"/>
    <col min="12038" max="12039" width="9.28515625" bestFit="1" customWidth="1"/>
    <col min="12041" max="12041" width="10.28515625" bestFit="1" customWidth="1"/>
    <col min="12042" max="12043" width="9.28515625" bestFit="1" customWidth="1"/>
    <col min="12045" max="12045" width="10.28515625" bestFit="1" customWidth="1"/>
    <col min="12046" max="12047" width="9.28515625" bestFit="1" customWidth="1"/>
    <col min="12049" max="12049" width="10.28515625" bestFit="1" customWidth="1"/>
    <col min="12050" max="12051" width="9.28515625" bestFit="1" customWidth="1"/>
    <col min="12053" max="12053" width="10.28515625" bestFit="1" customWidth="1"/>
    <col min="12054" max="12055" width="9.28515625" bestFit="1" customWidth="1"/>
    <col min="12057" max="12057" width="10.28515625" bestFit="1" customWidth="1"/>
    <col min="12058" max="12059" width="9.28515625" bestFit="1" customWidth="1"/>
    <col min="12061" max="12061" width="10.28515625" bestFit="1" customWidth="1"/>
    <col min="12062" max="12063" width="9.28515625" bestFit="1" customWidth="1"/>
    <col min="12065" max="12065" width="10.28515625" bestFit="1" customWidth="1"/>
    <col min="12066" max="12067" width="9.28515625" bestFit="1" customWidth="1"/>
    <col min="12069" max="12069" width="10.28515625" bestFit="1" customWidth="1"/>
    <col min="12070" max="12071" width="9.28515625" bestFit="1" customWidth="1"/>
    <col min="12073" max="12073" width="10.28515625" bestFit="1" customWidth="1"/>
    <col min="12074" max="12075" width="9.28515625" bestFit="1" customWidth="1"/>
    <col min="12077" max="12077" width="10.28515625" bestFit="1" customWidth="1"/>
    <col min="12078" max="12079" width="9.28515625" bestFit="1" customWidth="1"/>
    <col min="12081" max="12081" width="10.28515625" bestFit="1" customWidth="1"/>
    <col min="12082" max="12083" width="9.28515625" bestFit="1" customWidth="1"/>
    <col min="12085" max="12085" width="10.28515625" bestFit="1" customWidth="1"/>
    <col min="12086" max="12087" width="9.28515625" bestFit="1" customWidth="1"/>
    <col min="12089" max="12089" width="10.28515625" bestFit="1" customWidth="1"/>
    <col min="12090" max="12091" width="9.28515625" bestFit="1" customWidth="1"/>
    <col min="12093" max="12093" width="10.28515625" bestFit="1" customWidth="1"/>
    <col min="12094" max="12095" width="9.28515625" bestFit="1" customWidth="1"/>
    <col min="12097" max="12097" width="10.28515625" bestFit="1" customWidth="1"/>
    <col min="12098" max="12099" width="9.28515625" bestFit="1" customWidth="1"/>
    <col min="12101" max="12101" width="10.28515625" bestFit="1" customWidth="1"/>
    <col min="12102" max="12103" width="9.28515625" bestFit="1" customWidth="1"/>
    <col min="12105" max="12105" width="10.28515625" bestFit="1" customWidth="1"/>
    <col min="12106" max="12107" width="9.28515625" bestFit="1" customWidth="1"/>
    <col min="12109" max="12109" width="10.28515625" bestFit="1" customWidth="1"/>
    <col min="12110" max="12111" width="9.28515625" bestFit="1" customWidth="1"/>
    <col min="12113" max="12113" width="10.28515625" bestFit="1" customWidth="1"/>
    <col min="12114" max="12115" width="9.28515625" bestFit="1" customWidth="1"/>
    <col min="12117" max="12117" width="10.28515625" bestFit="1" customWidth="1"/>
    <col min="12118" max="12119" width="9.28515625" bestFit="1" customWidth="1"/>
    <col min="12121" max="12121" width="10.28515625" bestFit="1" customWidth="1"/>
    <col min="12122" max="12123" width="9.28515625" bestFit="1" customWidth="1"/>
    <col min="12125" max="12125" width="10.28515625" bestFit="1" customWidth="1"/>
    <col min="12126" max="12127" width="9.28515625" bestFit="1" customWidth="1"/>
    <col min="12129" max="12129" width="10.28515625" bestFit="1" customWidth="1"/>
    <col min="12130" max="12131" width="9.28515625" bestFit="1" customWidth="1"/>
    <col min="12133" max="12133" width="10.28515625" bestFit="1" customWidth="1"/>
    <col min="12134" max="12135" width="9.28515625" bestFit="1" customWidth="1"/>
    <col min="12137" max="12137" width="10.28515625" bestFit="1" customWidth="1"/>
    <col min="12138" max="12139" width="9.28515625" bestFit="1" customWidth="1"/>
    <col min="12141" max="12141" width="10.28515625" bestFit="1" customWidth="1"/>
    <col min="12142" max="12143" width="9.28515625" bestFit="1" customWidth="1"/>
    <col min="12145" max="12145" width="10.28515625" bestFit="1" customWidth="1"/>
    <col min="12146" max="12147" width="9.28515625" bestFit="1" customWidth="1"/>
    <col min="12149" max="12149" width="10.28515625" bestFit="1" customWidth="1"/>
    <col min="12150" max="12151" width="9.28515625" bestFit="1" customWidth="1"/>
    <col min="12153" max="12153" width="10.28515625" bestFit="1" customWidth="1"/>
    <col min="12154" max="12155" width="9.28515625" bestFit="1" customWidth="1"/>
    <col min="12157" max="12157" width="10.28515625" bestFit="1" customWidth="1"/>
    <col min="12158" max="12159" width="9.28515625" bestFit="1" customWidth="1"/>
    <col min="12161" max="12161" width="10.28515625" bestFit="1" customWidth="1"/>
    <col min="12162" max="12163" width="9.28515625" bestFit="1" customWidth="1"/>
    <col min="12165" max="12165" width="10.28515625" bestFit="1" customWidth="1"/>
    <col min="12166" max="12167" width="9.28515625" bestFit="1" customWidth="1"/>
    <col min="12169" max="12169" width="10.28515625" bestFit="1" customWidth="1"/>
    <col min="12170" max="12171" width="9.28515625" bestFit="1" customWidth="1"/>
    <col min="12173" max="12173" width="10.28515625" bestFit="1" customWidth="1"/>
    <col min="12174" max="12175" width="9.28515625" bestFit="1" customWidth="1"/>
    <col min="12177" max="12177" width="10.28515625" bestFit="1" customWidth="1"/>
    <col min="12178" max="12179" width="9.28515625" bestFit="1" customWidth="1"/>
    <col min="12181" max="12181" width="10.28515625" bestFit="1" customWidth="1"/>
    <col min="12182" max="12183" width="9.28515625" bestFit="1" customWidth="1"/>
    <col min="12185" max="12185" width="10.28515625" bestFit="1" customWidth="1"/>
    <col min="12186" max="12187" width="9.28515625" bestFit="1" customWidth="1"/>
    <col min="12189" max="12189" width="10.28515625" bestFit="1" customWidth="1"/>
    <col min="12190" max="12191" width="9.28515625" bestFit="1" customWidth="1"/>
    <col min="12193" max="12193" width="10.28515625" bestFit="1" customWidth="1"/>
    <col min="12194" max="12195" width="9.28515625" bestFit="1" customWidth="1"/>
    <col min="12197" max="12197" width="10.28515625" bestFit="1" customWidth="1"/>
    <col min="12198" max="12199" width="9.28515625" bestFit="1" customWidth="1"/>
    <col min="12201" max="12201" width="10.28515625" bestFit="1" customWidth="1"/>
    <col min="12202" max="12203" width="9.28515625" bestFit="1" customWidth="1"/>
    <col min="12205" max="12205" width="10.28515625" bestFit="1" customWidth="1"/>
    <col min="12206" max="12207" width="9.28515625" bestFit="1" customWidth="1"/>
    <col min="12209" max="12209" width="10.28515625" bestFit="1" customWidth="1"/>
    <col min="12210" max="12211" width="9.28515625" bestFit="1" customWidth="1"/>
    <col min="12213" max="12213" width="10.28515625" bestFit="1" customWidth="1"/>
    <col min="12214" max="12215" width="9.28515625" bestFit="1" customWidth="1"/>
    <col min="12217" max="12217" width="10.28515625" bestFit="1" customWidth="1"/>
    <col min="12218" max="12219" width="9.28515625" bestFit="1" customWidth="1"/>
    <col min="12221" max="12221" width="10.28515625" bestFit="1" customWidth="1"/>
    <col min="12222" max="12223" width="9.28515625" bestFit="1" customWidth="1"/>
    <col min="12225" max="12225" width="10.28515625" bestFit="1" customWidth="1"/>
    <col min="12226" max="12227" width="9.28515625" bestFit="1" customWidth="1"/>
    <col min="12229" max="12229" width="10.28515625" bestFit="1" customWidth="1"/>
    <col min="12230" max="12231" width="9.28515625" bestFit="1" customWidth="1"/>
    <col min="12233" max="12233" width="10.28515625" bestFit="1" customWidth="1"/>
    <col min="12234" max="12235" width="9.28515625" bestFit="1" customWidth="1"/>
    <col min="12237" max="12237" width="10.28515625" bestFit="1" customWidth="1"/>
    <col min="12238" max="12239" width="9.28515625" bestFit="1" customWidth="1"/>
    <col min="12241" max="12241" width="10.28515625" bestFit="1" customWidth="1"/>
    <col min="12242" max="12243" width="9.28515625" bestFit="1" customWidth="1"/>
    <col min="12245" max="12245" width="10.28515625" bestFit="1" customWidth="1"/>
    <col min="12246" max="12247" width="9.28515625" bestFit="1" customWidth="1"/>
    <col min="12249" max="12249" width="10.28515625" bestFit="1" customWidth="1"/>
    <col min="12250" max="12251" width="9.28515625" bestFit="1" customWidth="1"/>
    <col min="12253" max="12253" width="10.28515625" bestFit="1" customWidth="1"/>
    <col min="12254" max="12255" width="9.28515625" bestFit="1" customWidth="1"/>
    <col min="12257" max="12257" width="10.28515625" bestFit="1" customWidth="1"/>
    <col min="12258" max="12259" width="9.28515625" bestFit="1" customWidth="1"/>
    <col min="12261" max="12261" width="10.28515625" bestFit="1" customWidth="1"/>
    <col min="12262" max="12263" width="9.28515625" bestFit="1" customWidth="1"/>
    <col min="12265" max="12265" width="10.28515625" bestFit="1" customWidth="1"/>
    <col min="12266" max="12267" width="9.28515625" bestFit="1" customWidth="1"/>
    <col min="12269" max="12269" width="10.28515625" bestFit="1" customWidth="1"/>
    <col min="12270" max="12271" width="9.28515625" bestFit="1" customWidth="1"/>
    <col min="12273" max="12273" width="10.28515625" bestFit="1" customWidth="1"/>
    <col min="12274" max="12275" width="9.28515625" bestFit="1" customWidth="1"/>
    <col min="12277" max="12277" width="10.28515625" bestFit="1" customWidth="1"/>
    <col min="12278" max="12279" width="9.28515625" bestFit="1" customWidth="1"/>
    <col min="12281" max="12281" width="10.28515625" bestFit="1" customWidth="1"/>
    <col min="12282" max="12283" width="9.28515625" bestFit="1" customWidth="1"/>
    <col min="12285" max="12285" width="10.28515625" bestFit="1" customWidth="1"/>
    <col min="12286" max="12287" width="9.28515625" bestFit="1" customWidth="1"/>
    <col min="12289" max="12289" width="10.28515625" bestFit="1" customWidth="1"/>
    <col min="12290" max="12291" width="9.28515625" bestFit="1" customWidth="1"/>
    <col min="12293" max="12293" width="10.28515625" bestFit="1" customWidth="1"/>
    <col min="12294" max="12295" width="9.28515625" bestFit="1" customWidth="1"/>
    <col min="12297" max="12297" width="10.28515625" bestFit="1" customWidth="1"/>
    <col min="12298" max="12299" width="9.28515625" bestFit="1" customWidth="1"/>
    <col min="12301" max="12301" width="10.28515625" bestFit="1" customWidth="1"/>
    <col min="12302" max="12303" width="9.28515625" bestFit="1" customWidth="1"/>
    <col min="12305" max="12305" width="10.28515625" bestFit="1" customWidth="1"/>
    <col min="12306" max="12307" width="9.28515625" bestFit="1" customWidth="1"/>
    <col min="12309" max="12309" width="10.28515625" bestFit="1" customWidth="1"/>
    <col min="12310" max="12311" width="9.28515625" bestFit="1" customWidth="1"/>
    <col min="12313" max="12313" width="10.28515625" bestFit="1" customWidth="1"/>
    <col min="12314" max="12315" width="9.28515625" bestFit="1" customWidth="1"/>
    <col min="12317" max="12317" width="10.28515625" bestFit="1" customWidth="1"/>
    <col min="12318" max="12319" width="9.28515625" bestFit="1" customWidth="1"/>
    <col min="12321" max="12321" width="10.28515625" bestFit="1" customWidth="1"/>
    <col min="12322" max="12323" width="9.28515625" bestFit="1" customWidth="1"/>
    <col min="12325" max="12325" width="10.28515625" bestFit="1" customWidth="1"/>
    <col min="12326" max="12327" width="9.28515625" bestFit="1" customWidth="1"/>
    <col min="12329" max="12329" width="10.28515625" bestFit="1" customWidth="1"/>
    <col min="12330" max="12331" width="9.28515625" bestFit="1" customWidth="1"/>
    <col min="12333" max="12333" width="10.28515625" bestFit="1" customWidth="1"/>
    <col min="12334" max="12335" width="9.28515625" bestFit="1" customWidth="1"/>
    <col min="12337" max="12337" width="10.28515625" bestFit="1" customWidth="1"/>
    <col min="12338" max="12339" width="9.28515625" bestFit="1" customWidth="1"/>
    <col min="12341" max="12341" width="10.28515625" bestFit="1" customWidth="1"/>
    <col min="12342" max="12343" width="9.28515625" bestFit="1" customWidth="1"/>
    <col min="12345" max="12345" width="10.28515625" bestFit="1" customWidth="1"/>
    <col min="12346" max="12347" width="9.28515625" bestFit="1" customWidth="1"/>
    <col min="12349" max="12349" width="10.28515625" bestFit="1" customWidth="1"/>
    <col min="12350" max="12351" width="9.28515625" bestFit="1" customWidth="1"/>
    <col min="12353" max="12353" width="10.28515625" bestFit="1" customWidth="1"/>
    <col min="12354" max="12355" width="9.28515625" bestFit="1" customWidth="1"/>
    <col min="12357" max="12357" width="10.28515625" bestFit="1" customWidth="1"/>
    <col min="12358" max="12359" width="9.28515625" bestFit="1" customWidth="1"/>
    <col min="12361" max="12361" width="10.28515625" bestFit="1" customWidth="1"/>
    <col min="12362" max="12363" width="9.28515625" bestFit="1" customWidth="1"/>
    <col min="12365" max="12365" width="10.28515625" bestFit="1" customWidth="1"/>
    <col min="12366" max="12367" width="9.28515625" bestFit="1" customWidth="1"/>
    <col min="12369" max="12369" width="10.28515625" bestFit="1" customWidth="1"/>
    <col min="12370" max="12371" width="9.28515625" bestFit="1" customWidth="1"/>
    <col min="12373" max="12373" width="10.28515625" bestFit="1" customWidth="1"/>
    <col min="12374" max="12375" width="9.28515625" bestFit="1" customWidth="1"/>
    <col min="12377" max="12377" width="10.28515625" bestFit="1" customWidth="1"/>
    <col min="12378" max="12379" width="9.28515625" bestFit="1" customWidth="1"/>
    <col min="12381" max="12381" width="10.28515625" bestFit="1" customWidth="1"/>
    <col min="12382" max="12383" width="9.28515625" bestFit="1" customWidth="1"/>
    <col min="12385" max="12385" width="10.28515625" bestFit="1" customWidth="1"/>
    <col min="12386" max="12387" width="9.28515625" bestFit="1" customWidth="1"/>
    <col min="12389" max="12389" width="10.28515625" bestFit="1" customWidth="1"/>
    <col min="12390" max="12391" width="9.28515625" bestFit="1" customWidth="1"/>
    <col min="12393" max="12393" width="10.28515625" bestFit="1" customWidth="1"/>
    <col min="12394" max="12395" width="9.28515625" bestFit="1" customWidth="1"/>
    <col min="12397" max="12397" width="10.28515625" bestFit="1" customWidth="1"/>
    <col min="12398" max="12399" width="9.28515625" bestFit="1" customWidth="1"/>
    <col min="12401" max="12401" width="10.28515625" bestFit="1" customWidth="1"/>
    <col min="12402" max="12403" width="9.28515625" bestFit="1" customWidth="1"/>
    <col min="12405" max="12405" width="10.28515625" bestFit="1" customWidth="1"/>
    <col min="12406" max="12407" width="9.28515625" bestFit="1" customWidth="1"/>
    <col min="12409" max="12409" width="10.28515625" bestFit="1" customWidth="1"/>
    <col min="12410" max="12411" width="9.28515625" bestFit="1" customWidth="1"/>
    <col min="12413" max="12413" width="10.28515625" bestFit="1" customWidth="1"/>
    <col min="12414" max="12415" width="9.28515625" bestFit="1" customWidth="1"/>
    <col min="12417" max="12417" width="10.28515625" bestFit="1" customWidth="1"/>
    <col min="12418" max="12419" width="9.28515625" bestFit="1" customWidth="1"/>
    <col min="12421" max="12421" width="10.28515625" bestFit="1" customWidth="1"/>
    <col min="12422" max="12423" width="9.28515625" bestFit="1" customWidth="1"/>
    <col min="12425" max="12425" width="10.28515625" bestFit="1" customWidth="1"/>
    <col min="12426" max="12427" width="9.28515625" bestFit="1" customWidth="1"/>
    <col min="12429" max="12429" width="10.28515625" bestFit="1" customWidth="1"/>
    <col min="12430" max="12431" width="9.28515625" bestFit="1" customWidth="1"/>
    <col min="12433" max="12433" width="10.28515625" bestFit="1" customWidth="1"/>
    <col min="12434" max="12435" width="9.28515625" bestFit="1" customWidth="1"/>
    <col min="12437" max="12437" width="10.28515625" bestFit="1" customWidth="1"/>
    <col min="12438" max="12439" width="9.28515625" bestFit="1" customWidth="1"/>
    <col min="12441" max="12441" width="10.28515625" bestFit="1" customWidth="1"/>
    <col min="12442" max="12443" width="9.28515625" bestFit="1" customWidth="1"/>
    <col min="12445" max="12445" width="10.28515625" bestFit="1" customWidth="1"/>
    <col min="12446" max="12447" width="9.28515625" bestFit="1" customWidth="1"/>
    <col min="12449" max="12449" width="10.28515625" bestFit="1" customWidth="1"/>
    <col min="12450" max="12451" width="9.28515625" bestFit="1" customWidth="1"/>
    <col min="12453" max="12453" width="10.28515625" bestFit="1" customWidth="1"/>
    <col min="12454" max="12455" width="9.28515625" bestFit="1" customWidth="1"/>
    <col min="12457" max="12457" width="10.28515625" bestFit="1" customWidth="1"/>
    <col min="12458" max="12459" width="9.28515625" bestFit="1" customWidth="1"/>
    <col min="12461" max="12461" width="10.28515625" bestFit="1" customWidth="1"/>
    <col min="12462" max="12463" width="9.28515625" bestFit="1" customWidth="1"/>
    <col min="12465" max="12465" width="10.28515625" bestFit="1" customWidth="1"/>
    <col min="12466" max="12467" width="9.28515625" bestFit="1" customWidth="1"/>
    <col min="12469" max="12469" width="10.28515625" bestFit="1" customWidth="1"/>
    <col min="12470" max="12471" width="9.28515625" bestFit="1" customWidth="1"/>
    <col min="12473" max="12473" width="10.28515625" bestFit="1" customWidth="1"/>
    <col min="12474" max="12475" width="9.28515625" bestFit="1" customWidth="1"/>
    <col min="12477" max="12477" width="10.28515625" bestFit="1" customWidth="1"/>
    <col min="12478" max="12479" width="9.28515625" bestFit="1" customWidth="1"/>
    <col min="12481" max="12481" width="10.28515625" bestFit="1" customWidth="1"/>
    <col min="12482" max="12483" width="9.28515625" bestFit="1" customWidth="1"/>
    <col min="12485" max="12485" width="10.28515625" bestFit="1" customWidth="1"/>
    <col min="12486" max="12487" width="9.28515625" bestFit="1" customWidth="1"/>
    <col min="12489" max="12489" width="10.28515625" bestFit="1" customWidth="1"/>
    <col min="12490" max="12491" width="9.28515625" bestFit="1" customWidth="1"/>
    <col min="12493" max="12493" width="10.28515625" bestFit="1" customWidth="1"/>
    <col min="12494" max="12495" width="9.28515625" bestFit="1" customWidth="1"/>
    <col min="12497" max="12497" width="10.28515625" bestFit="1" customWidth="1"/>
    <col min="12498" max="12499" width="9.28515625" bestFit="1" customWidth="1"/>
    <col min="12501" max="12501" width="10.28515625" bestFit="1" customWidth="1"/>
    <col min="12502" max="12503" width="9.28515625" bestFit="1" customWidth="1"/>
    <col min="12505" max="12505" width="10.28515625" bestFit="1" customWidth="1"/>
    <col min="12506" max="12507" width="9.28515625" bestFit="1" customWidth="1"/>
    <col min="12509" max="12509" width="10.28515625" bestFit="1" customWidth="1"/>
    <col min="12510" max="12511" width="9.28515625" bestFit="1" customWidth="1"/>
    <col min="12513" max="12513" width="10.28515625" bestFit="1" customWidth="1"/>
    <col min="12514" max="12515" width="9.28515625" bestFit="1" customWidth="1"/>
    <col min="12517" max="12517" width="10.28515625" bestFit="1" customWidth="1"/>
    <col min="12518" max="12519" width="9.28515625" bestFit="1" customWidth="1"/>
    <col min="12521" max="12521" width="10.28515625" bestFit="1" customWidth="1"/>
    <col min="12522" max="12523" width="9.28515625" bestFit="1" customWidth="1"/>
    <col min="12525" max="12525" width="10.28515625" bestFit="1" customWidth="1"/>
    <col min="12526" max="12527" width="9.28515625" bestFit="1" customWidth="1"/>
    <col min="12529" max="12529" width="10.28515625" bestFit="1" customWidth="1"/>
    <col min="12530" max="12531" width="9.28515625" bestFit="1" customWidth="1"/>
    <col min="12533" max="12533" width="10.28515625" bestFit="1" customWidth="1"/>
    <col min="12534" max="12535" width="9.28515625" bestFit="1" customWidth="1"/>
    <col min="12537" max="12537" width="10.28515625" bestFit="1" customWidth="1"/>
    <col min="12538" max="12539" width="9.28515625" bestFit="1" customWidth="1"/>
    <col min="12541" max="12541" width="10.28515625" bestFit="1" customWidth="1"/>
    <col min="12542" max="12543" width="9.28515625" bestFit="1" customWidth="1"/>
    <col min="12545" max="12545" width="10.28515625" bestFit="1" customWidth="1"/>
    <col min="12546" max="12547" width="9.28515625" bestFit="1" customWidth="1"/>
    <col min="12549" max="12549" width="10.28515625" bestFit="1" customWidth="1"/>
    <col min="12550" max="12551" width="9.28515625" bestFit="1" customWidth="1"/>
    <col min="12553" max="12553" width="10.28515625" bestFit="1" customWidth="1"/>
    <col min="12554" max="12555" width="9.28515625" bestFit="1" customWidth="1"/>
    <col min="12557" max="12557" width="10.28515625" bestFit="1" customWidth="1"/>
    <col min="12558" max="12559" width="9.28515625" bestFit="1" customWidth="1"/>
    <col min="12561" max="12561" width="10.28515625" bestFit="1" customWidth="1"/>
    <col min="12562" max="12563" width="9.28515625" bestFit="1" customWidth="1"/>
    <col min="12565" max="12565" width="10.28515625" bestFit="1" customWidth="1"/>
    <col min="12566" max="12567" width="9.28515625" bestFit="1" customWidth="1"/>
    <col min="12569" max="12569" width="10.28515625" bestFit="1" customWidth="1"/>
    <col min="12570" max="12571" width="9.28515625" bestFit="1" customWidth="1"/>
    <col min="12573" max="12573" width="10.28515625" bestFit="1" customWidth="1"/>
    <col min="12574" max="12575" width="9.28515625" bestFit="1" customWidth="1"/>
    <col min="12577" max="12577" width="10.28515625" bestFit="1" customWidth="1"/>
    <col min="12578" max="12579" width="9.28515625" bestFit="1" customWidth="1"/>
    <col min="12581" max="12581" width="10.28515625" bestFit="1" customWidth="1"/>
    <col min="12582" max="12583" width="9.28515625" bestFit="1" customWidth="1"/>
    <col min="12585" max="12585" width="10.28515625" bestFit="1" customWidth="1"/>
    <col min="12586" max="12587" width="9.28515625" bestFit="1" customWidth="1"/>
    <col min="12589" max="12589" width="10.28515625" bestFit="1" customWidth="1"/>
    <col min="12590" max="12591" width="9.28515625" bestFit="1" customWidth="1"/>
    <col min="12593" max="12593" width="10.28515625" bestFit="1" customWidth="1"/>
    <col min="12594" max="12595" width="9.28515625" bestFit="1" customWidth="1"/>
    <col min="12597" max="12597" width="10.28515625" bestFit="1" customWidth="1"/>
    <col min="12598" max="12599" width="9.28515625" bestFit="1" customWidth="1"/>
    <col min="12601" max="12601" width="10.28515625" bestFit="1" customWidth="1"/>
    <col min="12602" max="12603" width="9.28515625" bestFit="1" customWidth="1"/>
    <col min="12605" max="12605" width="10.28515625" bestFit="1" customWidth="1"/>
    <col min="12606" max="12607" width="9.28515625" bestFit="1" customWidth="1"/>
    <col min="12609" max="12609" width="10.28515625" bestFit="1" customWidth="1"/>
    <col min="12610" max="12611" width="9.28515625" bestFit="1" customWidth="1"/>
    <col min="12613" max="12613" width="10.28515625" bestFit="1" customWidth="1"/>
    <col min="12614" max="12615" width="9.28515625" bestFit="1" customWidth="1"/>
    <col min="12617" max="12617" width="10.28515625" bestFit="1" customWidth="1"/>
    <col min="12618" max="12619" width="9.28515625" bestFit="1" customWidth="1"/>
    <col min="12621" max="12621" width="10.28515625" bestFit="1" customWidth="1"/>
    <col min="12622" max="12623" width="9.28515625" bestFit="1" customWidth="1"/>
    <col min="12625" max="12625" width="10.28515625" bestFit="1" customWidth="1"/>
    <col min="12626" max="12627" width="9.28515625" bestFit="1" customWidth="1"/>
    <col min="12629" max="12629" width="10.28515625" bestFit="1" customWidth="1"/>
    <col min="12630" max="12631" width="9.28515625" bestFit="1" customWidth="1"/>
    <col min="12633" max="12633" width="10.28515625" bestFit="1" customWidth="1"/>
    <col min="12634" max="12635" width="9.28515625" bestFit="1" customWidth="1"/>
    <col min="12637" max="12637" width="10.28515625" bestFit="1" customWidth="1"/>
    <col min="12638" max="12639" width="9.28515625" bestFit="1" customWidth="1"/>
    <col min="12641" max="12641" width="10.28515625" bestFit="1" customWidth="1"/>
    <col min="12642" max="12643" width="9.28515625" bestFit="1" customWidth="1"/>
    <col min="12645" max="12645" width="10.28515625" bestFit="1" customWidth="1"/>
    <col min="12646" max="12647" width="9.28515625" bestFit="1" customWidth="1"/>
    <col min="12649" max="12649" width="10.28515625" bestFit="1" customWidth="1"/>
    <col min="12650" max="12651" width="9.28515625" bestFit="1" customWidth="1"/>
    <col min="12653" max="12653" width="10.28515625" bestFit="1" customWidth="1"/>
    <col min="12654" max="12655" width="9.28515625" bestFit="1" customWidth="1"/>
    <col min="12657" max="12657" width="10.28515625" bestFit="1" customWidth="1"/>
    <col min="12658" max="12659" width="9.28515625" bestFit="1" customWidth="1"/>
    <col min="12661" max="12661" width="10.28515625" bestFit="1" customWidth="1"/>
    <col min="12662" max="12663" width="9.28515625" bestFit="1" customWidth="1"/>
    <col min="12665" max="12665" width="10.28515625" bestFit="1" customWidth="1"/>
    <col min="12666" max="12667" width="9.28515625" bestFit="1" customWidth="1"/>
    <col min="12669" max="12669" width="10.28515625" bestFit="1" customWidth="1"/>
    <col min="12670" max="12671" width="9.28515625" bestFit="1" customWidth="1"/>
    <col min="12673" max="12673" width="10.28515625" bestFit="1" customWidth="1"/>
    <col min="12674" max="12675" width="9.28515625" bestFit="1" customWidth="1"/>
    <col min="12677" max="12677" width="10.28515625" bestFit="1" customWidth="1"/>
    <col min="12678" max="12679" width="9.28515625" bestFit="1" customWidth="1"/>
    <col min="12681" max="12681" width="10.28515625" bestFit="1" customWidth="1"/>
    <col min="12682" max="12683" width="9.28515625" bestFit="1" customWidth="1"/>
    <col min="12685" max="12685" width="10.28515625" bestFit="1" customWidth="1"/>
    <col min="12686" max="12687" width="9.28515625" bestFit="1" customWidth="1"/>
    <col min="12689" max="12689" width="10.28515625" bestFit="1" customWidth="1"/>
    <col min="12690" max="12691" width="9.28515625" bestFit="1" customWidth="1"/>
    <col min="12693" max="12693" width="10.28515625" bestFit="1" customWidth="1"/>
    <col min="12694" max="12695" width="9.28515625" bestFit="1" customWidth="1"/>
    <col min="12697" max="12697" width="10.28515625" bestFit="1" customWidth="1"/>
    <col min="12698" max="12699" width="9.28515625" bestFit="1" customWidth="1"/>
    <col min="12701" max="12701" width="10.28515625" bestFit="1" customWidth="1"/>
    <col min="12702" max="12703" width="9.28515625" bestFit="1" customWidth="1"/>
    <col min="12705" max="12705" width="10.28515625" bestFit="1" customWidth="1"/>
    <col min="12706" max="12707" width="9.28515625" bestFit="1" customWidth="1"/>
    <col min="12709" max="12709" width="10.28515625" bestFit="1" customWidth="1"/>
    <col min="12710" max="12711" width="9.28515625" bestFit="1" customWidth="1"/>
    <col min="12713" max="12713" width="10.28515625" bestFit="1" customWidth="1"/>
    <col min="12714" max="12715" width="9.28515625" bestFit="1" customWidth="1"/>
    <col min="12717" max="12717" width="10.28515625" bestFit="1" customWidth="1"/>
    <col min="12718" max="12719" width="9.28515625" bestFit="1" customWidth="1"/>
    <col min="12721" max="12721" width="10.28515625" bestFit="1" customWidth="1"/>
    <col min="12722" max="12723" width="9.28515625" bestFit="1" customWidth="1"/>
    <col min="12725" max="12725" width="10.28515625" bestFit="1" customWidth="1"/>
    <col min="12726" max="12727" width="9.28515625" bestFit="1" customWidth="1"/>
    <col min="12729" max="12729" width="10.28515625" bestFit="1" customWidth="1"/>
    <col min="12730" max="12731" width="9.28515625" bestFit="1" customWidth="1"/>
    <col min="12733" max="12733" width="10.28515625" bestFit="1" customWidth="1"/>
    <col min="12734" max="12735" width="9.28515625" bestFit="1" customWidth="1"/>
    <col min="12737" max="12737" width="10.28515625" bestFit="1" customWidth="1"/>
    <col min="12738" max="12739" width="9.28515625" bestFit="1" customWidth="1"/>
    <col min="12741" max="12741" width="10.28515625" bestFit="1" customWidth="1"/>
    <col min="12742" max="12743" width="9.28515625" bestFit="1" customWidth="1"/>
    <col min="12745" max="12745" width="10.28515625" bestFit="1" customWidth="1"/>
    <col min="12746" max="12747" width="9.28515625" bestFit="1" customWidth="1"/>
    <col min="12749" max="12749" width="10.28515625" bestFit="1" customWidth="1"/>
    <col min="12750" max="12751" width="9.28515625" bestFit="1" customWidth="1"/>
    <col min="12753" max="12753" width="10.28515625" bestFit="1" customWidth="1"/>
    <col min="12754" max="12755" width="9.28515625" bestFit="1" customWidth="1"/>
    <col min="12757" max="12757" width="10.28515625" bestFit="1" customWidth="1"/>
    <col min="12758" max="12759" width="9.28515625" bestFit="1" customWidth="1"/>
    <col min="12761" max="12761" width="10.28515625" bestFit="1" customWidth="1"/>
    <col min="12762" max="12763" width="9.28515625" bestFit="1" customWidth="1"/>
    <col min="12765" max="12765" width="10.28515625" bestFit="1" customWidth="1"/>
    <col min="12766" max="12767" width="9.28515625" bestFit="1" customWidth="1"/>
    <col min="12769" max="12769" width="10.28515625" bestFit="1" customWidth="1"/>
    <col min="12770" max="12771" width="9.28515625" bestFit="1" customWidth="1"/>
    <col min="12773" max="12773" width="10.28515625" bestFit="1" customWidth="1"/>
    <col min="12774" max="12775" width="9.28515625" bestFit="1" customWidth="1"/>
    <col min="12777" max="12777" width="10.28515625" bestFit="1" customWidth="1"/>
    <col min="12778" max="12779" width="9.28515625" bestFit="1" customWidth="1"/>
    <col min="12781" max="12781" width="10.28515625" bestFit="1" customWidth="1"/>
    <col min="12782" max="12783" width="9.28515625" bestFit="1" customWidth="1"/>
    <col min="12785" max="12785" width="10.28515625" bestFit="1" customWidth="1"/>
    <col min="12786" max="12787" width="9.28515625" bestFit="1" customWidth="1"/>
    <col min="12789" max="12789" width="10.28515625" bestFit="1" customWidth="1"/>
    <col min="12790" max="12791" width="9.28515625" bestFit="1" customWidth="1"/>
    <col min="12793" max="12793" width="10.28515625" bestFit="1" customWidth="1"/>
    <col min="12794" max="12795" width="9.28515625" bestFit="1" customWidth="1"/>
    <col min="12797" max="12797" width="10.28515625" bestFit="1" customWidth="1"/>
    <col min="12798" max="12799" width="9.28515625" bestFit="1" customWidth="1"/>
    <col min="12801" max="12801" width="10.28515625" bestFit="1" customWidth="1"/>
    <col min="12802" max="12803" width="9.28515625" bestFit="1" customWidth="1"/>
    <col min="12805" max="12805" width="10.28515625" bestFit="1" customWidth="1"/>
    <col min="12806" max="12807" width="9.28515625" bestFit="1" customWidth="1"/>
    <col min="12809" max="12809" width="10.28515625" bestFit="1" customWidth="1"/>
    <col min="12810" max="12811" width="9.28515625" bestFit="1" customWidth="1"/>
    <col min="12813" max="12813" width="10.28515625" bestFit="1" customWidth="1"/>
    <col min="12814" max="12815" width="9.28515625" bestFit="1" customWidth="1"/>
    <col min="12817" max="12817" width="10.28515625" bestFit="1" customWidth="1"/>
    <col min="12818" max="12819" width="9.28515625" bestFit="1" customWidth="1"/>
    <col min="12821" max="12821" width="10.28515625" bestFit="1" customWidth="1"/>
    <col min="12822" max="12823" width="9.28515625" bestFit="1" customWidth="1"/>
    <col min="12825" max="12825" width="10.28515625" bestFit="1" customWidth="1"/>
    <col min="12826" max="12827" width="9.28515625" bestFit="1" customWidth="1"/>
    <col min="12829" max="12829" width="10.28515625" bestFit="1" customWidth="1"/>
    <col min="12830" max="12831" width="9.28515625" bestFit="1" customWidth="1"/>
    <col min="12833" max="12833" width="10.28515625" bestFit="1" customWidth="1"/>
    <col min="12834" max="12835" width="9.28515625" bestFit="1" customWidth="1"/>
    <col min="12837" max="12837" width="10.28515625" bestFit="1" customWidth="1"/>
    <col min="12838" max="12839" width="9.28515625" bestFit="1" customWidth="1"/>
    <col min="12841" max="12841" width="10.28515625" bestFit="1" customWidth="1"/>
    <col min="12842" max="12843" width="9.28515625" bestFit="1" customWidth="1"/>
    <col min="12845" max="12845" width="10.28515625" bestFit="1" customWidth="1"/>
    <col min="12846" max="12847" width="9.28515625" bestFit="1" customWidth="1"/>
    <col min="12849" max="12849" width="10.28515625" bestFit="1" customWidth="1"/>
    <col min="12850" max="12851" width="9.28515625" bestFit="1" customWidth="1"/>
    <col min="12853" max="12853" width="10.28515625" bestFit="1" customWidth="1"/>
    <col min="12854" max="12855" width="9.28515625" bestFit="1" customWidth="1"/>
    <col min="12857" max="12857" width="10.28515625" bestFit="1" customWidth="1"/>
    <col min="12858" max="12859" width="9.28515625" bestFit="1" customWidth="1"/>
    <col min="12861" max="12861" width="10.28515625" bestFit="1" customWidth="1"/>
    <col min="12862" max="12863" width="9.28515625" bestFit="1" customWidth="1"/>
    <col min="12865" max="12865" width="10.28515625" bestFit="1" customWidth="1"/>
    <col min="12866" max="12867" width="9.28515625" bestFit="1" customWidth="1"/>
    <col min="12869" max="12869" width="10.28515625" bestFit="1" customWidth="1"/>
    <col min="12870" max="12871" width="9.28515625" bestFit="1" customWidth="1"/>
    <col min="12873" max="12873" width="10.28515625" bestFit="1" customWidth="1"/>
    <col min="12874" max="12875" width="9.28515625" bestFit="1" customWidth="1"/>
    <col min="12877" max="12877" width="10.28515625" bestFit="1" customWidth="1"/>
    <col min="12878" max="12879" width="9.28515625" bestFit="1" customWidth="1"/>
    <col min="12881" max="12881" width="10.28515625" bestFit="1" customWidth="1"/>
    <col min="12882" max="12883" width="9.28515625" bestFit="1" customWidth="1"/>
    <col min="12885" max="12885" width="10.28515625" bestFit="1" customWidth="1"/>
    <col min="12886" max="12887" width="9.28515625" bestFit="1" customWidth="1"/>
    <col min="12889" max="12889" width="10.28515625" bestFit="1" customWidth="1"/>
    <col min="12890" max="12891" width="9.28515625" bestFit="1" customWidth="1"/>
    <col min="12893" max="12893" width="10.28515625" bestFit="1" customWidth="1"/>
    <col min="12894" max="12895" width="9.28515625" bestFit="1" customWidth="1"/>
    <col min="12897" max="12897" width="10.28515625" bestFit="1" customWidth="1"/>
    <col min="12898" max="12899" width="9.28515625" bestFit="1" customWidth="1"/>
    <col min="12901" max="12901" width="10.28515625" bestFit="1" customWidth="1"/>
    <col min="12902" max="12903" width="9.28515625" bestFit="1" customWidth="1"/>
    <col min="12905" max="12905" width="10.28515625" bestFit="1" customWidth="1"/>
    <col min="12906" max="12907" width="9.28515625" bestFit="1" customWidth="1"/>
    <col min="12909" max="12909" width="10.28515625" bestFit="1" customWidth="1"/>
    <col min="12910" max="12911" width="9.28515625" bestFit="1" customWidth="1"/>
    <col min="12913" max="12913" width="10.28515625" bestFit="1" customWidth="1"/>
    <col min="12914" max="12915" width="9.28515625" bestFit="1" customWidth="1"/>
    <col min="12917" max="12917" width="10.28515625" bestFit="1" customWidth="1"/>
    <col min="12918" max="12919" width="9.28515625" bestFit="1" customWidth="1"/>
    <col min="12921" max="12921" width="10.28515625" bestFit="1" customWidth="1"/>
    <col min="12922" max="12923" width="9.28515625" bestFit="1" customWidth="1"/>
    <col min="12925" max="12925" width="10.28515625" bestFit="1" customWidth="1"/>
    <col min="12926" max="12927" width="9.28515625" bestFit="1" customWidth="1"/>
    <col min="12929" max="12929" width="10.28515625" bestFit="1" customWidth="1"/>
    <col min="12930" max="12931" width="9.28515625" bestFit="1" customWidth="1"/>
    <col min="12933" max="12933" width="10.28515625" bestFit="1" customWidth="1"/>
    <col min="12934" max="12935" width="9.28515625" bestFit="1" customWidth="1"/>
    <col min="12937" max="12937" width="10.28515625" bestFit="1" customWidth="1"/>
    <col min="12938" max="12939" width="9.28515625" bestFit="1" customWidth="1"/>
    <col min="12941" max="12941" width="10.28515625" bestFit="1" customWidth="1"/>
    <col min="12942" max="12943" width="9.28515625" bestFit="1" customWidth="1"/>
    <col min="12945" max="12945" width="10.28515625" bestFit="1" customWidth="1"/>
    <col min="12946" max="12947" width="9.28515625" bestFit="1" customWidth="1"/>
    <col min="12949" max="12949" width="10.28515625" bestFit="1" customWidth="1"/>
    <col min="12950" max="12951" width="9.28515625" bestFit="1" customWidth="1"/>
    <col min="12953" max="12953" width="10.28515625" bestFit="1" customWidth="1"/>
    <col min="12954" max="12955" width="9.28515625" bestFit="1" customWidth="1"/>
    <col min="12957" max="12957" width="10.28515625" bestFit="1" customWidth="1"/>
    <col min="12958" max="12959" width="9.28515625" bestFit="1" customWidth="1"/>
    <col min="12961" max="12961" width="10.28515625" bestFit="1" customWidth="1"/>
    <col min="12962" max="12963" width="9.28515625" bestFit="1" customWidth="1"/>
    <col min="12965" max="12965" width="10.28515625" bestFit="1" customWidth="1"/>
    <col min="12966" max="12967" width="9.28515625" bestFit="1" customWidth="1"/>
    <col min="12969" max="12969" width="10.28515625" bestFit="1" customWidth="1"/>
    <col min="12970" max="12971" width="9.28515625" bestFit="1" customWidth="1"/>
    <col min="12973" max="12973" width="10.28515625" bestFit="1" customWidth="1"/>
    <col min="12974" max="12975" width="9.28515625" bestFit="1" customWidth="1"/>
    <col min="12977" max="12977" width="10.28515625" bestFit="1" customWidth="1"/>
    <col min="12978" max="12979" width="9.28515625" bestFit="1" customWidth="1"/>
    <col min="12981" max="12981" width="10.28515625" bestFit="1" customWidth="1"/>
    <col min="12982" max="12983" width="9.28515625" bestFit="1" customWidth="1"/>
    <col min="12985" max="12985" width="10.28515625" bestFit="1" customWidth="1"/>
    <col min="12986" max="12987" width="9.28515625" bestFit="1" customWidth="1"/>
    <col min="12989" max="12989" width="10.28515625" bestFit="1" customWidth="1"/>
    <col min="12990" max="12991" width="9.28515625" bestFit="1" customWidth="1"/>
    <col min="12993" max="12993" width="10.28515625" bestFit="1" customWidth="1"/>
    <col min="12994" max="12995" width="9.28515625" bestFit="1" customWidth="1"/>
    <col min="12997" max="12997" width="10.28515625" bestFit="1" customWidth="1"/>
    <col min="12998" max="12999" width="9.28515625" bestFit="1" customWidth="1"/>
    <col min="13001" max="13001" width="10.28515625" bestFit="1" customWidth="1"/>
    <col min="13002" max="13003" width="9.28515625" bestFit="1" customWidth="1"/>
    <col min="13005" max="13005" width="10.28515625" bestFit="1" customWidth="1"/>
    <col min="13006" max="13007" width="9.28515625" bestFit="1" customWidth="1"/>
    <col min="13009" max="13009" width="10.28515625" bestFit="1" customWidth="1"/>
    <col min="13010" max="13011" width="9.28515625" bestFit="1" customWidth="1"/>
    <col min="13013" max="13013" width="10.28515625" bestFit="1" customWidth="1"/>
    <col min="13014" max="13015" width="9.28515625" bestFit="1" customWidth="1"/>
    <col min="13017" max="13017" width="10.28515625" bestFit="1" customWidth="1"/>
    <col min="13018" max="13019" width="9.28515625" bestFit="1" customWidth="1"/>
    <col min="13021" max="13021" width="10.28515625" bestFit="1" customWidth="1"/>
    <col min="13022" max="13023" width="9.28515625" bestFit="1" customWidth="1"/>
    <col min="13025" max="13025" width="10.28515625" bestFit="1" customWidth="1"/>
    <col min="13026" max="13027" width="9.28515625" bestFit="1" customWidth="1"/>
    <col min="13029" max="13029" width="10.28515625" bestFit="1" customWidth="1"/>
    <col min="13030" max="13031" width="9.28515625" bestFit="1" customWidth="1"/>
    <col min="13033" max="13033" width="10.28515625" bestFit="1" customWidth="1"/>
    <col min="13034" max="13035" width="9.28515625" bestFit="1" customWidth="1"/>
    <col min="13037" max="13037" width="10.28515625" bestFit="1" customWidth="1"/>
    <col min="13038" max="13039" width="9.28515625" bestFit="1" customWidth="1"/>
    <col min="13041" max="13041" width="10.28515625" bestFit="1" customWidth="1"/>
    <col min="13042" max="13043" width="9.28515625" bestFit="1" customWidth="1"/>
    <col min="13045" max="13045" width="10.28515625" bestFit="1" customWidth="1"/>
    <col min="13046" max="13047" width="9.28515625" bestFit="1" customWidth="1"/>
    <col min="13049" max="13049" width="10.28515625" bestFit="1" customWidth="1"/>
    <col min="13050" max="13051" width="9.28515625" bestFit="1" customWidth="1"/>
    <col min="13053" max="13053" width="10.28515625" bestFit="1" customWidth="1"/>
    <col min="13054" max="13055" width="9.28515625" bestFit="1" customWidth="1"/>
    <col min="13057" max="13057" width="10.28515625" bestFit="1" customWidth="1"/>
    <col min="13058" max="13059" width="9.28515625" bestFit="1" customWidth="1"/>
    <col min="13061" max="13061" width="10.28515625" bestFit="1" customWidth="1"/>
    <col min="13062" max="13063" width="9.28515625" bestFit="1" customWidth="1"/>
    <col min="13065" max="13065" width="10.28515625" bestFit="1" customWidth="1"/>
    <col min="13066" max="13067" width="9.28515625" bestFit="1" customWidth="1"/>
    <col min="13069" max="13069" width="10.28515625" bestFit="1" customWidth="1"/>
    <col min="13070" max="13071" width="9.28515625" bestFit="1" customWidth="1"/>
    <col min="13073" max="13073" width="10.28515625" bestFit="1" customWidth="1"/>
    <col min="13074" max="13075" width="9.28515625" bestFit="1" customWidth="1"/>
    <col min="13077" max="13077" width="10.28515625" bestFit="1" customWidth="1"/>
    <col min="13078" max="13079" width="9.28515625" bestFit="1" customWidth="1"/>
    <col min="13081" max="13081" width="10.28515625" bestFit="1" customWidth="1"/>
    <col min="13082" max="13083" width="9.28515625" bestFit="1" customWidth="1"/>
    <col min="13085" max="13085" width="10.28515625" bestFit="1" customWidth="1"/>
    <col min="13086" max="13087" width="9.28515625" bestFit="1" customWidth="1"/>
    <col min="13089" max="13089" width="10.28515625" bestFit="1" customWidth="1"/>
    <col min="13090" max="13091" width="9.28515625" bestFit="1" customWidth="1"/>
    <col min="13093" max="13093" width="10.28515625" bestFit="1" customWidth="1"/>
    <col min="13094" max="13095" width="9.28515625" bestFit="1" customWidth="1"/>
    <col min="13097" max="13097" width="10.28515625" bestFit="1" customWidth="1"/>
    <col min="13098" max="13099" width="9.28515625" bestFit="1" customWidth="1"/>
    <col min="13101" max="13101" width="10.28515625" bestFit="1" customWidth="1"/>
    <col min="13102" max="13103" width="9.28515625" bestFit="1" customWidth="1"/>
    <col min="13105" max="13105" width="10.28515625" bestFit="1" customWidth="1"/>
    <col min="13106" max="13107" width="9.28515625" bestFit="1" customWidth="1"/>
    <col min="13109" max="13109" width="10.28515625" bestFit="1" customWidth="1"/>
    <col min="13110" max="13111" width="9.28515625" bestFit="1" customWidth="1"/>
    <col min="13113" max="13113" width="10.28515625" bestFit="1" customWidth="1"/>
    <col min="13114" max="13115" width="9.28515625" bestFit="1" customWidth="1"/>
    <col min="13117" max="13117" width="10.28515625" bestFit="1" customWidth="1"/>
    <col min="13118" max="13119" width="9.28515625" bestFit="1" customWidth="1"/>
    <col min="13121" max="13121" width="10.28515625" bestFit="1" customWidth="1"/>
    <col min="13122" max="13123" width="9.28515625" bestFit="1" customWidth="1"/>
    <col min="13125" max="13125" width="10.28515625" bestFit="1" customWidth="1"/>
    <col min="13126" max="13127" width="9.28515625" bestFit="1" customWidth="1"/>
    <col min="13129" max="13129" width="10.28515625" bestFit="1" customWidth="1"/>
    <col min="13130" max="13131" width="9.28515625" bestFit="1" customWidth="1"/>
    <col min="13133" max="13133" width="10.28515625" bestFit="1" customWidth="1"/>
    <col min="13134" max="13135" width="9.28515625" bestFit="1" customWidth="1"/>
    <col min="13137" max="13137" width="10.28515625" bestFit="1" customWidth="1"/>
    <col min="13138" max="13139" width="9.28515625" bestFit="1" customWidth="1"/>
    <col min="13141" max="13141" width="10.28515625" bestFit="1" customWidth="1"/>
    <col min="13142" max="13143" width="9.28515625" bestFit="1" customWidth="1"/>
    <col min="13145" max="13145" width="10.28515625" bestFit="1" customWidth="1"/>
    <col min="13146" max="13147" width="9.28515625" bestFit="1" customWidth="1"/>
    <col min="13149" max="13149" width="10.28515625" bestFit="1" customWidth="1"/>
    <col min="13150" max="13151" width="9.28515625" bestFit="1" customWidth="1"/>
    <col min="13153" max="13153" width="10.28515625" bestFit="1" customWidth="1"/>
    <col min="13154" max="13155" width="9.28515625" bestFit="1" customWidth="1"/>
    <col min="13157" max="13157" width="10.28515625" bestFit="1" customWidth="1"/>
    <col min="13158" max="13159" width="9.28515625" bestFit="1" customWidth="1"/>
    <col min="13161" max="13161" width="10.28515625" bestFit="1" customWidth="1"/>
    <col min="13162" max="13163" width="9.28515625" bestFit="1" customWidth="1"/>
    <col min="13165" max="13165" width="10.28515625" bestFit="1" customWidth="1"/>
    <col min="13166" max="13167" width="9.28515625" bestFit="1" customWidth="1"/>
    <col min="13169" max="13169" width="10.28515625" bestFit="1" customWidth="1"/>
    <col min="13170" max="13171" width="9.28515625" bestFit="1" customWidth="1"/>
    <col min="13173" max="13173" width="10.28515625" bestFit="1" customWidth="1"/>
    <col min="13174" max="13175" width="9.28515625" bestFit="1" customWidth="1"/>
    <col min="13177" max="13177" width="10.28515625" bestFit="1" customWidth="1"/>
    <col min="13178" max="13179" width="9.28515625" bestFit="1" customWidth="1"/>
    <col min="13181" max="13181" width="10.28515625" bestFit="1" customWidth="1"/>
    <col min="13182" max="13183" width="9.28515625" bestFit="1" customWidth="1"/>
    <col min="13185" max="13185" width="10.28515625" bestFit="1" customWidth="1"/>
    <col min="13186" max="13187" width="9.28515625" bestFit="1" customWidth="1"/>
    <col min="13189" max="13189" width="10.28515625" bestFit="1" customWidth="1"/>
    <col min="13190" max="13191" width="9.28515625" bestFit="1" customWidth="1"/>
    <col min="13193" max="13193" width="10.28515625" bestFit="1" customWidth="1"/>
    <col min="13194" max="13195" width="9.28515625" bestFit="1" customWidth="1"/>
    <col min="13197" max="13197" width="10.28515625" bestFit="1" customWidth="1"/>
    <col min="13198" max="13199" width="9.28515625" bestFit="1" customWidth="1"/>
    <col min="13201" max="13201" width="10.28515625" bestFit="1" customWidth="1"/>
    <col min="13202" max="13203" width="9.28515625" bestFit="1" customWidth="1"/>
    <col min="13205" max="13205" width="10.28515625" bestFit="1" customWidth="1"/>
    <col min="13206" max="13207" width="9.28515625" bestFit="1" customWidth="1"/>
    <col min="13209" max="13209" width="10.28515625" bestFit="1" customWidth="1"/>
    <col min="13210" max="13211" width="9.28515625" bestFit="1" customWidth="1"/>
    <col min="13213" max="13213" width="10.28515625" bestFit="1" customWidth="1"/>
    <col min="13214" max="13215" width="9.28515625" bestFit="1" customWidth="1"/>
    <col min="13217" max="13217" width="10.28515625" bestFit="1" customWidth="1"/>
    <col min="13218" max="13219" width="9.28515625" bestFit="1" customWidth="1"/>
    <col min="13221" max="13221" width="10.28515625" bestFit="1" customWidth="1"/>
    <col min="13222" max="13223" width="9.28515625" bestFit="1" customWidth="1"/>
    <col min="13225" max="13225" width="10.28515625" bestFit="1" customWidth="1"/>
    <col min="13226" max="13227" width="9.28515625" bestFit="1" customWidth="1"/>
    <col min="13229" max="13229" width="10.28515625" bestFit="1" customWidth="1"/>
    <col min="13230" max="13231" width="9.28515625" bestFit="1" customWidth="1"/>
    <col min="13233" max="13233" width="10.28515625" bestFit="1" customWidth="1"/>
    <col min="13234" max="13235" width="9.28515625" bestFit="1" customWidth="1"/>
    <col min="13237" max="13237" width="10.28515625" bestFit="1" customWidth="1"/>
    <col min="13238" max="13239" width="9.28515625" bestFit="1" customWidth="1"/>
    <col min="13241" max="13241" width="10.28515625" bestFit="1" customWidth="1"/>
    <col min="13242" max="13243" width="9.28515625" bestFit="1" customWidth="1"/>
    <col min="13245" max="13245" width="10.28515625" bestFit="1" customWidth="1"/>
    <col min="13246" max="13247" width="9.28515625" bestFit="1" customWidth="1"/>
    <col min="13249" max="13249" width="10.28515625" bestFit="1" customWidth="1"/>
    <col min="13250" max="13251" width="9.28515625" bestFit="1" customWidth="1"/>
    <col min="13253" max="13253" width="10.28515625" bestFit="1" customWidth="1"/>
    <col min="13254" max="13255" width="9.28515625" bestFit="1" customWidth="1"/>
    <col min="13257" max="13257" width="10.28515625" bestFit="1" customWidth="1"/>
    <col min="13258" max="13259" width="9.28515625" bestFit="1" customWidth="1"/>
    <col min="13261" max="13261" width="10.28515625" bestFit="1" customWidth="1"/>
    <col min="13262" max="13263" width="9.28515625" bestFit="1" customWidth="1"/>
    <col min="13265" max="13265" width="10.28515625" bestFit="1" customWidth="1"/>
    <col min="13266" max="13267" width="9.28515625" bestFit="1" customWidth="1"/>
    <col min="13269" max="13269" width="10.28515625" bestFit="1" customWidth="1"/>
    <col min="13270" max="13271" width="9.28515625" bestFit="1" customWidth="1"/>
    <col min="13273" max="13273" width="10.28515625" bestFit="1" customWidth="1"/>
    <col min="13274" max="13275" width="9.28515625" bestFit="1" customWidth="1"/>
    <col min="13277" max="13277" width="10.28515625" bestFit="1" customWidth="1"/>
    <col min="13278" max="13279" width="9.28515625" bestFit="1" customWidth="1"/>
    <col min="13281" max="13281" width="10.28515625" bestFit="1" customWidth="1"/>
    <col min="13282" max="13283" width="9.28515625" bestFit="1" customWidth="1"/>
    <col min="13285" max="13285" width="10.28515625" bestFit="1" customWidth="1"/>
    <col min="13286" max="13287" width="9.28515625" bestFit="1" customWidth="1"/>
    <col min="13289" max="13289" width="10.28515625" bestFit="1" customWidth="1"/>
    <col min="13290" max="13291" width="9.28515625" bestFit="1" customWidth="1"/>
    <col min="13293" max="13293" width="10.28515625" bestFit="1" customWidth="1"/>
    <col min="13294" max="13295" width="9.28515625" bestFit="1" customWidth="1"/>
    <col min="13297" max="13297" width="10.28515625" bestFit="1" customWidth="1"/>
    <col min="13298" max="13299" width="9.28515625" bestFit="1" customWidth="1"/>
    <col min="13301" max="13301" width="10.28515625" bestFit="1" customWidth="1"/>
    <col min="13302" max="13303" width="9.28515625" bestFit="1" customWidth="1"/>
    <col min="13305" max="13305" width="10.28515625" bestFit="1" customWidth="1"/>
    <col min="13306" max="13307" width="9.28515625" bestFit="1" customWidth="1"/>
    <col min="13309" max="13309" width="10.28515625" bestFit="1" customWidth="1"/>
    <col min="13310" max="13311" width="9.28515625" bestFit="1" customWidth="1"/>
    <col min="13313" max="13313" width="10.28515625" bestFit="1" customWidth="1"/>
    <col min="13314" max="13315" width="9.28515625" bestFit="1" customWidth="1"/>
    <col min="13317" max="13317" width="10.28515625" bestFit="1" customWidth="1"/>
    <col min="13318" max="13319" width="9.28515625" bestFit="1" customWidth="1"/>
    <col min="13321" max="13321" width="10.28515625" bestFit="1" customWidth="1"/>
    <col min="13322" max="13323" width="9.28515625" bestFit="1" customWidth="1"/>
    <col min="13325" max="13325" width="10.28515625" bestFit="1" customWidth="1"/>
    <col min="13326" max="13327" width="9.28515625" bestFit="1" customWidth="1"/>
    <col min="13329" max="13329" width="10.28515625" bestFit="1" customWidth="1"/>
    <col min="13330" max="13331" width="9.28515625" bestFit="1" customWidth="1"/>
    <col min="13333" max="13333" width="10.28515625" bestFit="1" customWidth="1"/>
    <col min="13334" max="13335" width="9.28515625" bestFit="1" customWidth="1"/>
    <col min="13337" max="13337" width="10.28515625" bestFit="1" customWidth="1"/>
    <col min="13338" max="13339" width="9.28515625" bestFit="1" customWidth="1"/>
    <col min="13341" max="13341" width="10.28515625" bestFit="1" customWidth="1"/>
    <col min="13342" max="13343" width="9.28515625" bestFit="1" customWidth="1"/>
    <col min="13345" max="13345" width="10.28515625" bestFit="1" customWidth="1"/>
    <col min="13346" max="13347" width="9.28515625" bestFit="1" customWidth="1"/>
    <col min="13349" max="13349" width="10.28515625" bestFit="1" customWidth="1"/>
    <col min="13350" max="13351" width="9.28515625" bestFit="1" customWidth="1"/>
    <col min="13353" max="13353" width="10.28515625" bestFit="1" customWidth="1"/>
    <col min="13354" max="13355" width="9.28515625" bestFit="1" customWidth="1"/>
    <col min="13357" max="13357" width="10.28515625" bestFit="1" customWidth="1"/>
    <col min="13358" max="13359" width="9.28515625" bestFit="1" customWidth="1"/>
    <col min="13361" max="13361" width="10.28515625" bestFit="1" customWidth="1"/>
    <col min="13362" max="13363" width="9.28515625" bestFit="1" customWidth="1"/>
    <col min="13365" max="13365" width="10.28515625" bestFit="1" customWidth="1"/>
    <col min="13366" max="13367" width="9.28515625" bestFit="1" customWidth="1"/>
    <col min="13369" max="13369" width="10.28515625" bestFit="1" customWidth="1"/>
    <col min="13370" max="13371" width="9.28515625" bestFit="1" customWidth="1"/>
    <col min="13373" max="13373" width="10.28515625" bestFit="1" customWidth="1"/>
    <col min="13374" max="13375" width="9.28515625" bestFit="1" customWidth="1"/>
    <col min="13377" max="13377" width="10.28515625" bestFit="1" customWidth="1"/>
    <col min="13378" max="13379" width="9.28515625" bestFit="1" customWidth="1"/>
    <col min="13381" max="13381" width="10.28515625" bestFit="1" customWidth="1"/>
    <col min="13382" max="13383" width="9.28515625" bestFit="1" customWidth="1"/>
    <col min="13385" max="13385" width="10.28515625" bestFit="1" customWidth="1"/>
    <col min="13386" max="13387" width="9.28515625" bestFit="1" customWidth="1"/>
    <col min="13389" max="13389" width="10.28515625" bestFit="1" customWidth="1"/>
    <col min="13390" max="13391" width="9.28515625" bestFit="1" customWidth="1"/>
    <col min="13393" max="13393" width="10.28515625" bestFit="1" customWidth="1"/>
    <col min="13394" max="13395" width="9.28515625" bestFit="1" customWidth="1"/>
    <col min="13397" max="13397" width="10.28515625" bestFit="1" customWidth="1"/>
    <col min="13398" max="13399" width="9.28515625" bestFit="1" customWidth="1"/>
    <col min="13401" max="13401" width="10.28515625" bestFit="1" customWidth="1"/>
    <col min="13402" max="13403" width="9.28515625" bestFit="1" customWidth="1"/>
    <col min="13405" max="13405" width="10.28515625" bestFit="1" customWidth="1"/>
    <col min="13406" max="13407" width="9.28515625" bestFit="1" customWidth="1"/>
    <col min="13409" max="13409" width="10.28515625" bestFit="1" customWidth="1"/>
    <col min="13410" max="13411" width="9.28515625" bestFit="1" customWidth="1"/>
    <col min="13413" max="13413" width="10.28515625" bestFit="1" customWidth="1"/>
    <col min="13414" max="13415" width="9.28515625" bestFit="1" customWidth="1"/>
    <col min="13417" max="13417" width="10.28515625" bestFit="1" customWidth="1"/>
    <col min="13418" max="13419" width="9.28515625" bestFit="1" customWidth="1"/>
    <col min="13421" max="13421" width="10.28515625" bestFit="1" customWidth="1"/>
    <col min="13422" max="13423" width="9.28515625" bestFit="1" customWidth="1"/>
    <col min="13425" max="13425" width="10.28515625" bestFit="1" customWidth="1"/>
    <col min="13426" max="13427" width="9.28515625" bestFit="1" customWidth="1"/>
    <col min="13429" max="13429" width="10.28515625" bestFit="1" customWidth="1"/>
    <col min="13430" max="13431" width="9.28515625" bestFit="1" customWidth="1"/>
    <col min="13433" max="13433" width="10.28515625" bestFit="1" customWidth="1"/>
    <col min="13434" max="13435" width="9.28515625" bestFit="1" customWidth="1"/>
    <col min="13437" max="13437" width="10.28515625" bestFit="1" customWidth="1"/>
    <col min="13438" max="13439" width="9.28515625" bestFit="1" customWidth="1"/>
    <col min="13441" max="13441" width="10.28515625" bestFit="1" customWidth="1"/>
    <col min="13442" max="13443" width="9.28515625" bestFit="1" customWidth="1"/>
    <col min="13445" max="13445" width="10.28515625" bestFit="1" customWidth="1"/>
    <col min="13446" max="13447" width="9.28515625" bestFit="1" customWidth="1"/>
    <col min="13449" max="13449" width="10.28515625" bestFit="1" customWidth="1"/>
    <col min="13450" max="13451" width="9.28515625" bestFit="1" customWidth="1"/>
    <col min="13453" max="13453" width="10.28515625" bestFit="1" customWidth="1"/>
    <col min="13454" max="13455" width="9.28515625" bestFit="1" customWidth="1"/>
    <col min="13457" max="13457" width="10.28515625" bestFit="1" customWidth="1"/>
    <col min="13458" max="13459" width="9.28515625" bestFit="1" customWidth="1"/>
    <col min="13461" max="13461" width="10.28515625" bestFit="1" customWidth="1"/>
    <col min="13462" max="13463" width="9.28515625" bestFit="1" customWidth="1"/>
    <col min="13465" max="13465" width="10.28515625" bestFit="1" customWidth="1"/>
    <col min="13466" max="13467" width="9.28515625" bestFit="1" customWidth="1"/>
    <col min="13469" max="13469" width="10.28515625" bestFit="1" customWidth="1"/>
    <col min="13470" max="13471" width="9.28515625" bestFit="1" customWidth="1"/>
    <col min="13473" max="13473" width="10.28515625" bestFit="1" customWidth="1"/>
    <col min="13474" max="13475" width="9.28515625" bestFit="1" customWidth="1"/>
    <col min="13477" max="13477" width="10.28515625" bestFit="1" customWidth="1"/>
    <col min="13478" max="13479" width="9.28515625" bestFit="1" customWidth="1"/>
    <col min="13481" max="13481" width="10.28515625" bestFit="1" customWidth="1"/>
    <col min="13482" max="13483" width="9.28515625" bestFit="1" customWidth="1"/>
    <col min="13485" max="13485" width="10.28515625" bestFit="1" customWidth="1"/>
    <col min="13486" max="13487" width="9.28515625" bestFit="1" customWidth="1"/>
    <col min="13489" max="13489" width="10.28515625" bestFit="1" customWidth="1"/>
    <col min="13490" max="13491" width="9.28515625" bestFit="1" customWidth="1"/>
    <col min="13493" max="13493" width="10.28515625" bestFit="1" customWidth="1"/>
    <col min="13494" max="13495" width="9.28515625" bestFit="1" customWidth="1"/>
    <col min="13497" max="13497" width="10.28515625" bestFit="1" customWidth="1"/>
    <col min="13498" max="13499" width="9.28515625" bestFit="1" customWidth="1"/>
    <col min="13501" max="13501" width="10.28515625" bestFit="1" customWidth="1"/>
    <col min="13502" max="13503" width="9.28515625" bestFit="1" customWidth="1"/>
    <col min="13505" max="13505" width="10.28515625" bestFit="1" customWidth="1"/>
    <col min="13506" max="13507" width="9.28515625" bestFit="1" customWidth="1"/>
    <col min="13509" max="13509" width="10.28515625" bestFit="1" customWidth="1"/>
    <col min="13510" max="13511" width="9.28515625" bestFit="1" customWidth="1"/>
    <col min="13513" max="13513" width="10.28515625" bestFit="1" customWidth="1"/>
    <col min="13514" max="13515" width="9.28515625" bestFit="1" customWidth="1"/>
    <col min="13517" max="13517" width="10.28515625" bestFit="1" customWidth="1"/>
    <col min="13518" max="13519" width="9.28515625" bestFit="1" customWidth="1"/>
    <col min="13521" max="13521" width="10.28515625" bestFit="1" customWidth="1"/>
    <col min="13522" max="13523" width="9.28515625" bestFit="1" customWidth="1"/>
    <col min="13525" max="13525" width="10.28515625" bestFit="1" customWidth="1"/>
    <col min="13526" max="13527" width="9.28515625" bestFit="1" customWidth="1"/>
    <col min="13529" max="13529" width="10.28515625" bestFit="1" customWidth="1"/>
    <col min="13530" max="13531" width="9.28515625" bestFit="1" customWidth="1"/>
    <col min="13533" max="13533" width="10.28515625" bestFit="1" customWidth="1"/>
    <col min="13534" max="13535" width="9.28515625" bestFit="1" customWidth="1"/>
    <col min="13537" max="13537" width="10.28515625" bestFit="1" customWidth="1"/>
    <col min="13538" max="13539" width="9.28515625" bestFit="1" customWidth="1"/>
    <col min="13541" max="13541" width="10.28515625" bestFit="1" customWidth="1"/>
    <col min="13542" max="13543" width="9.28515625" bestFit="1" customWidth="1"/>
    <col min="13545" max="13545" width="10.28515625" bestFit="1" customWidth="1"/>
    <col min="13546" max="13547" width="9.28515625" bestFit="1" customWidth="1"/>
    <col min="13549" max="13549" width="10.28515625" bestFit="1" customWidth="1"/>
    <col min="13550" max="13551" width="9.28515625" bestFit="1" customWidth="1"/>
    <col min="13553" max="13553" width="10.28515625" bestFit="1" customWidth="1"/>
    <col min="13554" max="13555" width="9.28515625" bestFit="1" customWidth="1"/>
    <col min="13557" max="13557" width="10.28515625" bestFit="1" customWidth="1"/>
    <col min="13558" max="13559" width="9.28515625" bestFit="1" customWidth="1"/>
    <col min="13561" max="13561" width="10.28515625" bestFit="1" customWidth="1"/>
    <col min="13562" max="13563" width="9.28515625" bestFit="1" customWidth="1"/>
    <col min="13565" max="13565" width="10.28515625" bestFit="1" customWidth="1"/>
    <col min="13566" max="13567" width="9.28515625" bestFit="1" customWidth="1"/>
    <col min="13569" max="13569" width="10.28515625" bestFit="1" customWidth="1"/>
    <col min="13570" max="13571" width="9.28515625" bestFit="1" customWidth="1"/>
    <col min="13573" max="13573" width="10.28515625" bestFit="1" customWidth="1"/>
    <col min="13574" max="13575" width="9.28515625" bestFit="1" customWidth="1"/>
    <col min="13577" max="13577" width="10.28515625" bestFit="1" customWidth="1"/>
    <col min="13578" max="13579" width="9.28515625" bestFit="1" customWidth="1"/>
    <col min="13581" max="13581" width="10.28515625" bestFit="1" customWidth="1"/>
    <col min="13582" max="13583" width="9.28515625" bestFit="1" customWidth="1"/>
    <col min="13585" max="13585" width="10.28515625" bestFit="1" customWidth="1"/>
    <col min="13586" max="13587" width="9.28515625" bestFit="1" customWidth="1"/>
    <col min="13589" max="13589" width="10.28515625" bestFit="1" customWidth="1"/>
    <col min="13590" max="13591" width="9.28515625" bestFit="1" customWidth="1"/>
    <col min="13593" max="13593" width="10.28515625" bestFit="1" customWidth="1"/>
    <col min="13594" max="13595" width="9.28515625" bestFit="1" customWidth="1"/>
    <col min="13597" max="13597" width="10.28515625" bestFit="1" customWidth="1"/>
    <col min="13598" max="13599" width="9.28515625" bestFit="1" customWidth="1"/>
    <col min="13601" max="13601" width="10.28515625" bestFit="1" customWidth="1"/>
    <col min="13602" max="13603" width="9.28515625" bestFit="1" customWidth="1"/>
    <col min="13605" max="13605" width="10.28515625" bestFit="1" customWidth="1"/>
    <col min="13606" max="13607" width="9.28515625" bestFit="1" customWidth="1"/>
    <col min="13609" max="13609" width="10.28515625" bestFit="1" customWidth="1"/>
    <col min="13610" max="13611" width="9.28515625" bestFit="1" customWidth="1"/>
    <col min="13613" max="13613" width="10.28515625" bestFit="1" customWidth="1"/>
    <col min="13614" max="13615" width="9.28515625" bestFit="1" customWidth="1"/>
    <col min="13617" max="13617" width="10.28515625" bestFit="1" customWidth="1"/>
    <col min="13618" max="13619" width="9.28515625" bestFit="1" customWidth="1"/>
    <col min="13621" max="13621" width="10.28515625" bestFit="1" customWidth="1"/>
    <col min="13622" max="13623" width="9.28515625" bestFit="1" customWidth="1"/>
    <col min="13625" max="13625" width="10.28515625" bestFit="1" customWidth="1"/>
    <col min="13626" max="13627" width="9.28515625" bestFit="1" customWidth="1"/>
    <col min="13629" max="13629" width="10.28515625" bestFit="1" customWidth="1"/>
    <col min="13630" max="13631" width="9.28515625" bestFit="1" customWidth="1"/>
    <col min="13633" max="13633" width="10.28515625" bestFit="1" customWidth="1"/>
    <col min="13634" max="13635" width="9.28515625" bestFit="1" customWidth="1"/>
    <col min="13637" max="13637" width="10.28515625" bestFit="1" customWidth="1"/>
    <col min="13638" max="13639" width="9.28515625" bestFit="1" customWidth="1"/>
    <col min="13641" max="13641" width="10.28515625" bestFit="1" customWidth="1"/>
    <col min="13642" max="13643" width="9.28515625" bestFit="1" customWidth="1"/>
    <col min="13645" max="13645" width="10.28515625" bestFit="1" customWidth="1"/>
    <col min="13646" max="13647" width="9.28515625" bestFit="1" customWidth="1"/>
    <col min="13649" max="13649" width="10.28515625" bestFit="1" customWidth="1"/>
    <col min="13650" max="13651" width="9.28515625" bestFit="1" customWidth="1"/>
    <col min="13653" max="13653" width="10.28515625" bestFit="1" customWidth="1"/>
    <col min="13654" max="13655" width="9.28515625" bestFit="1" customWidth="1"/>
    <col min="13657" max="13657" width="10.28515625" bestFit="1" customWidth="1"/>
    <col min="13658" max="13659" width="9.28515625" bestFit="1" customWidth="1"/>
    <col min="13661" max="13661" width="10.28515625" bestFit="1" customWidth="1"/>
    <col min="13662" max="13663" width="9.28515625" bestFit="1" customWidth="1"/>
    <col min="13665" max="13665" width="10.28515625" bestFit="1" customWidth="1"/>
    <col min="13666" max="13667" width="9.28515625" bestFit="1" customWidth="1"/>
    <col min="13669" max="13669" width="10.28515625" bestFit="1" customWidth="1"/>
    <col min="13670" max="13671" width="9.28515625" bestFit="1" customWidth="1"/>
    <col min="13673" max="13673" width="10.28515625" bestFit="1" customWidth="1"/>
    <col min="13674" max="13675" width="9.28515625" bestFit="1" customWidth="1"/>
    <col min="13677" max="13677" width="10.28515625" bestFit="1" customWidth="1"/>
    <col min="13678" max="13679" width="9.28515625" bestFit="1" customWidth="1"/>
    <col min="13681" max="13681" width="10.28515625" bestFit="1" customWidth="1"/>
    <col min="13682" max="13683" width="9.28515625" bestFit="1" customWidth="1"/>
    <col min="13685" max="13685" width="10.28515625" bestFit="1" customWidth="1"/>
    <col min="13686" max="13687" width="9.28515625" bestFit="1" customWidth="1"/>
    <col min="13689" max="13689" width="10.28515625" bestFit="1" customWidth="1"/>
    <col min="13690" max="13691" width="9.28515625" bestFit="1" customWidth="1"/>
    <col min="13693" max="13693" width="10.28515625" bestFit="1" customWidth="1"/>
    <col min="13694" max="13695" width="9.28515625" bestFit="1" customWidth="1"/>
    <col min="13697" max="13697" width="10.28515625" bestFit="1" customWidth="1"/>
    <col min="13698" max="13699" width="9.28515625" bestFit="1" customWidth="1"/>
    <col min="13701" max="13701" width="10.28515625" bestFit="1" customWidth="1"/>
    <col min="13702" max="13703" width="9.28515625" bestFit="1" customWidth="1"/>
    <col min="13705" max="13705" width="10.28515625" bestFit="1" customWidth="1"/>
    <col min="13706" max="13707" width="9.28515625" bestFit="1" customWidth="1"/>
    <col min="13709" max="13709" width="10.28515625" bestFit="1" customWidth="1"/>
    <col min="13710" max="13711" width="9.28515625" bestFit="1" customWidth="1"/>
    <col min="13713" max="13713" width="10.28515625" bestFit="1" customWidth="1"/>
    <col min="13714" max="13715" width="9.28515625" bestFit="1" customWidth="1"/>
    <col min="13717" max="13717" width="10.28515625" bestFit="1" customWidth="1"/>
    <col min="13718" max="13719" width="9.28515625" bestFit="1" customWidth="1"/>
    <col min="13721" max="13721" width="10.28515625" bestFit="1" customWidth="1"/>
    <col min="13722" max="13723" width="9.28515625" bestFit="1" customWidth="1"/>
    <col min="13725" max="13725" width="10.28515625" bestFit="1" customWidth="1"/>
    <col min="13726" max="13727" width="9.28515625" bestFit="1" customWidth="1"/>
    <col min="13729" max="13729" width="10.28515625" bestFit="1" customWidth="1"/>
    <col min="13730" max="13731" width="9.28515625" bestFit="1" customWidth="1"/>
    <col min="13733" max="13733" width="10.28515625" bestFit="1" customWidth="1"/>
    <col min="13734" max="13735" width="9.28515625" bestFit="1" customWidth="1"/>
    <col min="13737" max="13737" width="10.28515625" bestFit="1" customWidth="1"/>
    <col min="13738" max="13739" width="9.28515625" bestFit="1" customWidth="1"/>
    <col min="13741" max="13741" width="10.28515625" bestFit="1" customWidth="1"/>
    <col min="13742" max="13743" width="9.28515625" bestFit="1" customWidth="1"/>
    <col min="13745" max="13745" width="10.28515625" bestFit="1" customWidth="1"/>
    <col min="13746" max="13747" width="9.28515625" bestFit="1" customWidth="1"/>
    <col min="13749" max="13749" width="10.28515625" bestFit="1" customWidth="1"/>
    <col min="13750" max="13751" width="9.28515625" bestFit="1" customWidth="1"/>
    <col min="13753" max="13753" width="10.28515625" bestFit="1" customWidth="1"/>
    <col min="13754" max="13755" width="9.28515625" bestFit="1" customWidth="1"/>
    <col min="13757" max="13757" width="10.28515625" bestFit="1" customWidth="1"/>
    <col min="13758" max="13759" width="9.28515625" bestFit="1" customWidth="1"/>
    <col min="13761" max="13761" width="10.28515625" bestFit="1" customWidth="1"/>
    <col min="13762" max="13763" width="9.28515625" bestFit="1" customWidth="1"/>
    <col min="13765" max="13765" width="10.28515625" bestFit="1" customWidth="1"/>
    <col min="13766" max="13767" width="9.28515625" bestFit="1" customWidth="1"/>
    <col min="13769" max="13769" width="10.28515625" bestFit="1" customWidth="1"/>
    <col min="13770" max="13771" width="9.28515625" bestFit="1" customWidth="1"/>
    <col min="13773" max="13773" width="10.28515625" bestFit="1" customWidth="1"/>
    <col min="13774" max="13775" width="9.28515625" bestFit="1" customWidth="1"/>
    <col min="13777" max="13777" width="10.28515625" bestFit="1" customWidth="1"/>
    <col min="13778" max="13779" width="9.28515625" bestFit="1" customWidth="1"/>
    <col min="13781" max="13781" width="10.28515625" bestFit="1" customWidth="1"/>
    <col min="13782" max="13783" width="9.28515625" bestFit="1" customWidth="1"/>
    <col min="13785" max="13785" width="10.28515625" bestFit="1" customWidth="1"/>
    <col min="13786" max="13787" width="9.28515625" bestFit="1" customWidth="1"/>
    <col min="13789" max="13789" width="10.28515625" bestFit="1" customWidth="1"/>
    <col min="13790" max="13791" width="9.28515625" bestFit="1" customWidth="1"/>
    <col min="13793" max="13793" width="10.28515625" bestFit="1" customWidth="1"/>
    <col min="13794" max="13795" width="9.28515625" bestFit="1" customWidth="1"/>
    <col min="13797" max="13797" width="10.28515625" bestFit="1" customWidth="1"/>
    <col min="13798" max="13799" width="9.28515625" bestFit="1" customWidth="1"/>
    <col min="13801" max="13801" width="10.28515625" bestFit="1" customWidth="1"/>
    <col min="13802" max="13803" width="9.28515625" bestFit="1" customWidth="1"/>
    <col min="13805" max="13805" width="10.28515625" bestFit="1" customWidth="1"/>
    <col min="13806" max="13807" width="9.28515625" bestFit="1" customWidth="1"/>
    <col min="13809" max="13809" width="10.28515625" bestFit="1" customWidth="1"/>
    <col min="13810" max="13811" width="9.28515625" bestFit="1" customWidth="1"/>
    <col min="13813" max="13813" width="10.28515625" bestFit="1" customWidth="1"/>
    <col min="13814" max="13815" width="9.28515625" bestFit="1" customWidth="1"/>
    <col min="13817" max="13817" width="10.28515625" bestFit="1" customWidth="1"/>
    <col min="13818" max="13819" width="9.28515625" bestFit="1" customWidth="1"/>
    <col min="13821" max="13821" width="10.28515625" bestFit="1" customWidth="1"/>
    <col min="13822" max="13823" width="9.28515625" bestFit="1" customWidth="1"/>
    <col min="13825" max="13825" width="10.28515625" bestFit="1" customWidth="1"/>
    <col min="13826" max="13827" width="9.28515625" bestFit="1" customWidth="1"/>
    <col min="13829" max="13829" width="10.28515625" bestFit="1" customWidth="1"/>
    <col min="13830" max="13831" width="9.28515625" bestFit="1" customWidth="1"/>
    <col min="13833" max="13833" width="10.28515625" bestFit="1" customWidth="1"/>
    <col min="13834" max="13835" width="9.28515625" bestFit="1" customWidth="1"/>
    <col min="13837" max="13837" width="10.28515625" bestFit="1" customWidth="1"/>
    <col min="13838" max="13839" width="9.28515625" bestFit="1" customWidth="1"/>
    <col min="13841" max="13841" width="10.28515625" bestFit="1" customWidth="1"/>
    <col min="13842" max="13843" width="9.28515625" bestFit="1" customWidth="1"/>
    <col min="13845" max="13845" width="10.28515625" bestFit="1" customWidth="1"/>
    <col min="13846" max="13847" width="9.28515625" bestFit="1" customWidth="1"/>
    <col min="13849" max="13849" width="10.28515625" bestFit="1" customWidth="1"/>
    <col min="13850" max="13851" width="9.28515625" bestFit="1" customWidth="1"/>
    <col min="13853" max="13853" width="10.28515625" bestFit="1" customWidth="1"/>
    <col min="13854" max="13855" width="9.28515625" bestFit="1" customWidth="1"/>
    <col min="13857" max="13857" width="10.28515625" bestFit="1" customWidth="1"/>
    <col min="13858" max="13859" width="9.28515625" bestFit="1" customWidth="1"/>
    <col min="13861" max="13861" width="10.28515625" bestFit="1" customWidth="1"/>
    <col min="13862" max="13863" width="9.28515625" bestFit="1" customWidth="1"/>
    <col min="13865" max="13865" width="10.28515625" bestFit="1" customWidth="1"/>
    <col min="13866" max="13867" width="9.28515625" bestFit="1" customWidth="1"/>
    <col min="13869" max="13869" width="10.28515625" bestFit="1" customWidth="1"/>
    <col min="13870" max="13871" width="9.28515625" bestFit="1" customWidth="1"/>
    <col min="13873" max="13873" width="10.28515625" bestFit="1" customWidth="1"/>
    <col min="13874" max="13875" width="9.28515625" bestFit="1" customWidth="1"/>
    <col min="13877" max="13877" width="10.28515625" bestFit="1" customWidth="1"/>
    <col min="13878" max="13879" width="9.28515625" bestFit="1" customWidth="1"/>
    <col min="13881" max="13881" width="10.28515625" bestFit="1" customWidth="1"/>
    <col min="13882" max="13883" width="9.28515625" bestFit="1" customWidth="1"/>
    <col min="13885" max="13885" width="10.28515625" bestFit="1" customWidth="1"/>
    <col min="13886" max="13887" width="9.28515625" bestFit="1" customWidth="1"/>
    <col min="13889" max="13889" width="10.28515625" bestFit="1" customWidth="1"/>
    <col min="13890" max="13891" width="9.28515625" bestFit="1" customWidth="1"/>
    <col min="13893" max="13893" width="10.28515625" bestFit="1" customWidth="1"/>
    <col min="13894" max="13895" width="9.28515625" bestFit="1" customWidth="1"/>
    <col min="13897" max="13897" width="10.28515625" bestFit="1" customWidth="1"/>
    <col min="13898" max="13899" width="9.28515625" bestFit="1" customWidth="1"/>
    <col min="13901" max="13901" width="10.28515625" bestFit="1" customWidth="1"/>
    <col min="13902" max="13903" width="9.28515625" bestFit="1" customWidth="1"/>
    <col min="13905" max="13905" width="10.28515625" bestFit="1" customWidth="1"/>
    <col min="13906" max="13907" width="9.28515625" bestFit="1" customWidth="1"/>
    <col min="13909" max="13909" width="10.28515625" bestFit="1" customWidth="1"/>
    <col min="13910" max="13911" width="9.28515625" bestFit="1" customWidth="1"/>
    <col min="13913" max="13913" width="10.28515625" bestFit="1" customWidth="1"/>
    <col min="13914" max="13915" width="9.28515625" bestFit="1" customWidth="1"/>
    <col min="13917" max="13917" width="10.28515625" bestFit="1" customWidth="1"/>
    <col min="13918" max="13919" width="9.28515625" bestFit="1" customWidth="1"/>
    <col min="13921" max="13921" width="10.28515625" bestFit="1" customWidth="1"/>
    <col min="13922" max="13923" width="9.28515625" bestFit="1" customWidth="1"/>
    <col min="13925" max="13925" width="10.28515625" bestFit="1" customWidth="1"/>
    <col min="13926" max="13927" width="9.28515625" bestFit="1" customWidth="1"/>
    <col min="13929" max="13929" width="10.28515625" bestFit="1" customWidth="1"/>
    <col min="13930" max="13931" width="9.28515625" bestFit="1" customWidth="1"/>
    <col min="13933" max="13933" width="10.28515625" bestFit="1" customWidth="1"/>
    <col min="13934" max="13935" width="9.28515625" bestFit="1" customWidth="1"/>
    <col min="13937" max="13937" width="10.28515625" bestFit="1" customWidth="1"/>
    <col min="13938" max="13939" width="9.28515625" bestFit="1" customWidth="1"/>
    <col min="13941" max="13941" width="10.28515625" bestFit="1" customWidth="1"/>
    <col min="13942" max="13943" width="9.28515625" bestFit="1" customWidth="1"/>
    <col min="13945" max="13945" width="10.28515625" bestFit="1" customWidth="1"/>
    <col min="13946" max="13947" width="9.28515625" bestFit="1" customWidth="1"/>
    <col min="13949" max="13949" width="10.28515625" bestFit="1" customWidth="1"/>
    <col min="13950" max="13951" width="9.28515625" bestFit="1" customWidth="1"/>
    <col min="13953" max="13953" width="10.28515625" bestFit="1" customWidth="1"/>
    <col min="13954" max="13955" width="9.28515625" bestFit="1" customWidth="1"/>
    <col min="13957" max="13957" width="10.28515625" bestFit="1" customWidth="1"/>
    <col min="13958" max="13959" width="9.28515625" bestFit="1" customWidth="1"/>
    <col min="13961" max="13961" width="10.28515625" bestFit="1" customWidth="1"/>
    <col min="13962" max="13963" width="9.28515625" bestFit="1" customWidth="1"/>
    <col min="13965" max="13965" width="10.28515625" bestFit="1" customWidth="1"/>
    <col min="13966" max="13967" width="9.28515625" bestFit="1" customWidth="1"/>
    <col min="13969" max="13969" width="10.28515625" bestFit="1" customWidth="1"/>
    <col min="13970" max="13971" width="9.28515625" bestFit="1" customWidth="1"/>
    <col min="13973" max="13973" width="10.28515625" bestFit="1" customWidth="1"/>
    <col min="13974" max="13975" width="9.28515625" bestFit="1" customWidth="1"/>
    <col min="13977" max="13977" width="10.28515625" bestFit="1" customWidth="1"/>
    <col min="13978" max="13979" width="9.28515625" bestFit="1" customWidth="1"/>
    <col min="13981" max="13981" width="10.28515625" bestFit="1" customWidth="1"/>
    <col min="13982" max="13983" width="9.28515625" bestFit="1" customWidth="1"/>
    <col min="13985" max="13985" width="10.28515625" bestFit="1" customWidth="1"/>
    <col min="13986" max="13987" width="9.28515625" bestFit="1" customWidth="1"/>
    <col min="13989" max="13989" width="10.28515625" bestFit="1" customWidth="1"/>
    <col min="13990" max="13991" width="9.28515625" bestFit="1" customWidth="1"/>
    <col min="13993" max="13993" width="10.28515625" bestFit="1" customWidth="1"/>
    <col min="13994" max="13995" width="9.28515625" bestFit="1" customWidth="1"/>
    <col min="13997" max="13997" width="10.28515625" bestFit="1" customWidth="1"/>
    <col min="13998" max="13999" width="9.28515625" bestFit="1" customWidth="1"/>
    <col min="14001" max="14001" width="10.28515625" bestFit="1" customWidth="1"/>
    <col min="14002" max="14003" width="9.28515625" bestFit="1" customWidth="1"/>
    <col min="14005" max="14005" width="10.28515625" bestFit="1" customWidth="1"/>
    <col min="14006" max="14007" width="9.28515625" bestFit="1" customWidth="1"/>
    <col min="14009" max="14009" width="10.28515625" bestFit="1" customWidth="1"/>
    <col min="14010" max="14011" width="9.28515625" bestFit="1" customWidth="1"/>
    <col min="14013" max="14013" width="10.28515625" bestFit="1" customWidth="1"/>
    <col min="14014" max="14015" width="9.28515625" bestFit="1" customWidth="1"/>
    <col min="14017" max="14017" width="10.28515625" bestFit="1" customWidth="1"/>
    <col min="14018" max="14019" width="9.28515625" bestFit="1" customWidth="1"/>
    <col min="14021" max="14021" width="10.28515625" bestFit="1" customWidth="1"/>
    <col min="14022" max="14023" width="9.28515625" bestFit="1" customWidth="1"/>
    <col min="14025" max="14025" width="10.28515625" bestFit="1" customWidth="1"/>
    <col min="14026" max="14027" width="9.28515625" bestFit="1" customWidth="1"/>
    <col min="14029" max="14029" width="10.28515625" bestFit="1" customWidth="1"/>
    <col min="14030" max="14031" width="9.28515625" bestFit="1" customWidth="1"/>
    <col min="14033" max="14033" width="10.28515625" bestFit="1" customWidth="1"/>
    <col min="14034" max="14035" width="9.28515625" bestFit="1" customWidth="1"/>
    <col min="14037" max="14037" width="10.28515625" bestFit="1" customWidth="1"/>
    <col min="14038" max="14039" width="9.28515625" bestFit="1" customWidth="1"/>
    <col min="14041" max="14041" width="10.28515625" bestFit="1" customWidth="1"/>
    <col min="14042" max="14043" width="9.28515625" bestFit="1" customWidth="1"/>
    <col min="14045" max="14045" width="10.28515625" bestFit="1" customWidth="1"/>
    <col min="14046" max="14047" width="9.28515625" bestFit="1" customWidth="1"/>
    <col min="14049" max="14049" width="10.28515625" bestFit="1" customWidth="1"/>
    <col min="14050" max="14051" width="9.28515625" bestFit="1" customWidth="1"/>
    <col min="14053" max="14053" width="10.28515625" bestFit="1" customWidth="1"/>
    <col min="14054" max="14055" width="9.28515625" bestFit="1" customWidth="1"/>
    <col min="14057" max="14057" width="10.28515625" bestFit="1" customWidth="1"/>
    <col min="14058" max="14059" width="9.28515625" bestFit="1" customWidth="1"/>
    <col min="14061" max="14061" width="10.28515625" bestFit="1" customWidth="1"/>
    <col min="14062" max="14063" width="9.28515625" bestFit="1" customWidth="1"/>
    <col min="14065" max="14065" width="10.28515625" bestFit="1" customWidth="1"/>
    <col min="14066" max="14067" width="9.28515625" bestFit="1" customWidth="1"/>
    <col min="14069" max="14069" width="10.28515625" bestFit="1" customWidth="1"/>
    <col min="14070" max="14071" width="9.28515625" bestFit="1" customWidth="1"/>
    <col min="14073" max="14073" width="10.28515625" bestFit="1" customWidth="1"/>
    <col min="14074" max="14075" width="9.28515625" bestFit="1" customWidth="1"/>
    <col min="14077" max="14077" width="10.28515625" bestFit="1" customWidth="1"/>
    <col min="14078" max="14079" width="9.28515625" bestFit="1" customWidth="1"/>
    <col min="14081" max="14081" width="10.28515625" bestFit="1" customWidth="1"/>
    <col min="14082" max="14083" width="9.28515625" bestFit="1" customWidth="1"/>
    <col min="14085" max="14085" width="10.28515625" bestFit="1" customWidth="1"/>
    <col min="14086" max="14087" width="9.28515625" bestFit="1" customWidth="1"/>
    <col min="14089" max="14089" width="10.28515625" bestFit="1" customWidth="1"/>
    <col min="14090" max="14091" width="9.28515625" bestFit="1" customWidth="1"/>
    <col min="14093" max="14093" width="10.28515625" bestFit="1" customWidth="1"/>
    <col min="14094" max="14095" width="9.28515625" bestFit="1" customWidth="1"/>
    <col min="14097" max="14097" width="10.28515625" bestFit="1" customWidth="1"/>
    <col min="14098" max="14099" width="9.28515625" bestFit="1" customWidth="1"/>
    <col min="14101" max="14101" width="10.28515625" bestFit="1" customWidth="1"/>
    <col min="14102" max="14103" width="9.28515625" bestFit="1" customWidth="1"/>
    <col min="14105" max="14105" width="10.28515625" bestFit="1" customWidth="1"/>
    <col min="14106" max="14107" width="9.28515625" bestFit="1" customWidth="1"/>
    <col min="14109" max="14109" width="10.28515625" bestFit="1" customWidth="1"/>
    <col min="14110" max="14111" width="9.28515625" bestFit="1" customWidth="1"/>
    <col min="14113" max="14113" width="10.28515625" bestFit="1" customWidth="1"/>
    <col min="14114" max="14115" width="9.28515625" bestFit="1" customWidth="1"/>
    <col min="14117" max="14117" width="10.28515625" bestFit="1" customWidth="1"/>
    <col min="14118" max="14119" width="9.28515625" bestFit="1" customWidth="1"/>
    <col min="14121" max="14121" width="10.28515625" bestFit="1" customWidth="1"/>
    <col min="14122" max="14123" width="9.28515625" bestFit="1" customWidth="1"/>
    <col min="14125" max="14125" width="10.28515625" bestFit="1" customWidth="1"/>
    <col min="14126" max="14127" width="9.28515625" bestFit="1" customWidth="1"/>
    <col min="14129" max="14129" width="10.28515625" bestFit="1" customWidth="1"/>
    <col min="14130" max="14131" width="9.28515625" bestFit="1" customWidth="1"/>
    <col min="14133" max="14133" width="10.28515625" bestFit="1" customWidth="1"/>
    <col min="14134" max="14135" width="9.28515625" bestFit="1" customWidth="1"/>
    <col min="14137" max="14137" width="10.28515625" bestFit="1" customWidth="1"/>
    <col min="14138" max="14139" width="9.28515625" bestFit="1" customWidth="1"/>
    <col min="14141" max="14141" width="10.28515625" bestFit="1" customWidth="1"/>
    <col min="14142" max="14143" width="9.28515625" bestFit="1" customWidth="1"/>
    <col min="14145" max="14145" width="10.28515625" bestFit="1" customWidth="1"/>
    <col min="14146" max="14147" width="9.28515625" bestFit="1" customWidth="1"/>
    <col min="14149" max="14149" width="10.28515625" bestFit="1" customWidth="1"/>
    <col min="14150" max="14151" width="9.28515625" bestFit="1" customWidth="1"/>
    <col min="14153" max="14153" width="10.28515625" bestFit="1" customWidth="1"/>
    <col min="14154" max="14155" width="9.28515625" bestFit="1" customWidth="1"/>
    <col min="14157" max="14157" width="10.28515625" bestFit="1" customWidth="1"/>
    <col min="14158" max="14159" width="9.28515625" bestFit="1" customWidth="1"/>
    <col min="14161" max="14161" width="10.28515625" bestFit="1" customWidth="1"/>
    <col min="14162" max="14163" width="9.28515625" bestFit="1" customWidth="1"/>
    <col min="14165" max="14165" width="10.28515625" bestFit="1" customWidth="1"/>
    <col min="14166" max="14167" width="9.28515625" bestFit="1" customWidth="1"/>
    <col min="14169" max="14169" width="10.28515625" bestFit="1" customWidth="1"/>
    <col min="14170" max="14171" width="9.28515625" bestFit="1" customWidth="1"/>
    <col min="14173" max="14173" width="10.28515625" bestFit="1" customWidth="1"/>
    <col min="14174" max="14175" width="9.28515625" bestFit="1" customWidth="1"/>
    <col min="14177" max="14177" width="10.28515625" bestFit="1" customWidth="1"/>
    <col min="14178" max="14179" width="9.28515625" bestFit="1" customWidth="1"/>
    <col min="14181" max="14181" width="10.28515625" bestFit="1" customWidth="1"/>
    <col min="14182" max="14183" width="9.28515625" bestFit="1" customWidth="1"/>
    <col min="14185" max="14185" width="10.28515625" bestFit="1" customWidth="1"/>
    <col min="14186" max="14187" width="9.28515625" bestFit="1" customWidth="1"/>
    <col min="14189" max="14189" width="10.28515625" bestFit="1" customWidth="1"/>
    <col min="14190" max="14191" width="9.28515625" bestFit="1" customWidth="1"/>
    <col min="14193" max="14193" width="10.28515625" bestFit="1" customWidth="1"/>
    <col min="14194" max="14195" width="9.28515625" bestFit="1" customWidth="1"/>
    <col min="14197" max="14197" width="10.28515625" bestFit="1" customWidth="1"/>
    <col min="14198" max="14199" width="9.28515625" bestFit="1" customWidth="1"/>
    <col min="14201" max="14201" width="10.28515625" bestFit="1" customWidth="1"/>
    <col min="14202" max="14203" width="9.28515625" bestFit="1" customWidth="1"/>
    <col min="14205" max="14205" width="10.28515625" bestFit="1" customWidth="1"/>
    <col min="14206" max="14207" width="9.28515625" bestFit="1" customWidth="1"/>
    <col min="14209" max="14209" width="10.28515625" bestFit="1" customWidth="1"/>
    <col min="14210" max="14211" width="9.28515625" bestFit="1" customWidth="1"/>
    <col min="14213" max="14213" width="10.28515625" bestFit="1" customWidth="1"/>
    <col min="14214" max="14215" width="9.28515625" bestFit="1" customWidth="1"/>
    <col min="14217" max="14217" width="10.28515625" bestFit="1" customWidth="1"/>
    <col min="14218" max="14219" width="9.28515625" bestFit="1" customWidth="1"/>
    <col min="14221" max="14221" width="10.28515625" bestFit="1" customWidth="1"/>
    <col min="14222" max="14223" width="9.28515625" bestFit="1" customWidth="1"/>
    <col min="14225" max="14225" width="10.28515625" bestFit="1" customWidth="1"/>
    <col min="14226" max="14227" width="9.28515625" bestFit="1" customWidth="1"/>
    <col min="14229" max="14229" width="10.28515625" bestFit="1" customWidth="1"/>
    <col min="14230" max="14231" width="9.28515625" bestFit="1" customWidth="1"/>
    <col min="14233" max="14233" width="10.28515625" bestFit="1" customWidth="1"/>
    <col min="14234" max="14235" width="9.28515625" bestFit="1" customWidth="1"/>
    <col min="14237" max="14237" width="10.28515625" bestFit="1" customWidth="1"/>
    <col min="14238" max="14239" width="9.28515625" bestFit="1" customWidth="1"/>
    <col min="14241" max="14241" width="10.28515625" bestFit="1" customWidth="1"/>
    <col min="14242" max="14243" width="9.28515625" bestFit="1" customWidth="1"/>
    <col min="14245" max="14245" width="10.28515625" bestFit="1" customWidth="1"/>
    <col min="14246" max="14247" width="9.28515625" bestFit="1" customWidth="1"/>
    <col min="14249" max="14249" width="10.28515625" bestFit="1" customWidth="1"/>
    <col min="14250" max="14251" width="9.28515625" bestFit="1" customWidth="1"/>
    <col min="14253" max="14253" width="10.28515625" bestFit="1" customWidth="1"/>
    <col min="14254" max="14255" width="9.28515625" bestFit="1" customWidth="1"/>
    <col min="14257" max="14257" width="10.28515625" bestFit="1" customWidth="1"/>
    <col min="14258" max="14259" width="9.28515625" bestFit="1" customWidth="1"/>
    <col min="14261" max="14261" width="10.28515625" bestFit="1" customWidth="1"/>
    <col min="14262" max="14263" width="9.28515625" bestFit="1" customWidth="1"/>
    <col min="14265" max="14265" width="10.28515625" bestFit="1" customWidth="1"/>
    <col min="14266" max="14267" width="9.28515625" bestFit="1" customWidth="1"/>
    <col min="14269" max="14269" width="10.28515625" bestFit="1" customWidth="1"/>
    <col min="14270" max="14271" width="9.28515625" bestFit="1" customWidth="1"/>
    <col min="14273" max="14273" width="10.28515625" bestFit="1" customWidth="1"/>
    <col min="14274" max="14275" width="9.28515625" bestFit="1" customWidth="1"/>
    <col min="14277" max="14277" width="10.28515625" bestFit="1" customWidth="1"/>
    <col min="14278" max="14279" width="9.28515625" bestFit="1" customWidth="1"/>
    <col min="14281" max="14281" width="10.28515625" bestFit="1" customWidth="1"/>
    <col min="14282" max="14283" width="9.28515625" bestFit="1" customWidth="1"/>
    <col min="14285" max="14285" width="10.28515625" bestFit="1" customWidth="1"/>
    <col min="14286" max="14287" width="9.28515625" bestFit="1" customWidth="1"/>
    <col min="14289" max="14289" width="10.28515625" bestFit="1" customWidth="1"/>
    <col min="14290" max="14291" width="9.28515625" bestFit="1" customWidth="1"/>
    <col min="14293" max="14293" width="10.28515625" bestFit="1" customWidth="1"/>
    <col min="14294" max="14295" width="9.28515625" bestFit="1" customWidth="1"/>
    <col min="14297" max="14297" width="10.28515625" bestFit="1" customWidth="1"/>
    <col min="14298" max="14299" width="9.28515625" bestFit="1" customWidth="1"/>
    <col min="14301" max="14301" width="10.28515625" bestFit="1" customWidth="1"/>
    <col min="14302" max="14303" width="9.28515625" bestFit="1" customWidth="1"/>
    <col min="14305" max="14305" width="10.28515625" bestFit="1" customWidth="1"/>
    <col min="14306" max="14307" width="9.28515625" bestFit="1" customWidth="1"/>
    <col min="14309" max="14309" width="10.28515625" bestFit="1" customWidth="1"/>
    <col min="14310" max="14311" width="9.28515625" bestFit="1" customWidth="1"/>
    <col min="14313" max="14313" width="10.28515625" bestFit="1" customWidth="1"/>
    <col min="14314" max="14315" width="9.28515625" bestFit="1" customWidth="1"/>
    <col min="14317" max="14317" width="10.28515625" bestFit="1" customWidth="1"/>
    <col min="14318" max="14319" width="9.28515625" bestFit="1" customWidth="1"/>
    <col min="14321" max="14321" width="10.28515625" bestFit="1" customWidth="1"/>
    <col min="14322" max="14323" width="9.28515625" bestFit="1" customWidth="1"/>
    <col min="14325" max="14325" width="10.28515625" bestFit="1" customWidth="1"/>
    <col min="14326" max="14327" width="9.28515625" bestFit="1" customWidth="1"/>
    <col min="14329" max="14329" width="10.28515625" bestFit="1" customWidth="1"/>
    <col min="14330" max="14331" width="9.28515625" bestFit="1" customWidth="1"/>
    <col min="14333" max="14333" width="10.28515625" bestFit="1" customWidth="1"/>
    <col min="14334" max="14335" width="9.28515625" bestFit="1" customWidth="1"/>
    <col min="14337" max="14337" width="10.28515625" bestFit="1" customWidth="1"/>
    <col min="14338" max="14339" width="9.28515625" bestFit="1" customWidth="1"/>
    <col min="14341" max="14341" width="10.28515625" bestFit="1" customWidth="1"/>
    <col min="14342" max="14343" width="9.28515625" bestFit="1" customWidth="1"/>
    <col min="14345" max="14345" width="10.28515625" bestFit="1" customWidth="1"/>
    <col min="14346" max="14347" width="9.28515625" bestFit="1" customWidth="1"/>
    <col min="14349" max="14349" width="10.28515625" bestFit="1" customWidth="1"/>
    <col min="14350" max="14351" width="9.28515625" bestFit="1" customWidth="1"/>
    <col min="14353" max="14353" width="10.28515625" bestFit="1" customWidth="1"/>
    <col min="14354" max="14355" width="9.28515625" bestFit="1" customWidth="1"/>
    <col min="14357" max="14357" width="10.28515625" bestFit="1" customWidth="1"/>
    <col min="14358" max="14359" width="9.28515625" bestFit="1" customWidth="1"/>
    <col min="14361" max="14361" width="10.28515625" bestFit="1" customWidth="1"/>
    <col min="14362" max="14363" width="9.28515625" bestFit="1" customWidth="1"/>
    <col min="14365" max="14365" width="10.28515625" bestFit="1" customWidth="1"/>
    <col min="14366" max="14367" width="9.28515625" bestFit="1" customWidth="1"/>
    <col min="14369" max="14369" width="10.28515625" bestFit="1" customWidth="1"/>
    <col min="14370" max="14371" width="9.28515625" bestFit="1" customWidth="1"/>
    <col min="14373" max="14373" width="10.28515625" bestFit="1" customWidth="1"/>
    <col min="14374" max="14375" width="9.28515625" bestFit="1" customWidth="1"/>
    <col min="14377" max="14377" width="10.28515625" bestFit="1" customWidth="1"/>
    <col min="14378" max="14379" width="9.28515625" bestFit="1" customWidth="1"/>
    <col min="14381" max="14381" width="10.28515625" bestFit="1" customWidth="1"/>
    <col min="14382" max="14383" width="9.28515625" bestFit="1" customWidth="1"/>
    <col min="14385" max="14385" width="10.28515625" bestFit="1" customWidth="1"/>
    <col min="14386" max="14387" width="9.28515625" bestFit="1" customWidth="1"/>
    <col min="14389" max="14389" width="10.28515625" bestFit="1" customWidth="1"/>
    <col min="14390" max="14391" width="9.28515625" bestFit="1" customWidth="1"/>
    <col min="14393" max="14393" width="10.28515625" bestFit="1" customWidth="1"/>
    <col min="14394" max="14395" width="9.28515625" bestFit="1" customWidth="1"/>
    <col min="14397" max="14397" width="10.28515625" bestFit="1" customWidth="1"/>
    <col min="14398" max="14399" width="9.28515625" bestFit="1" customWidth="1"/>
    <col min="14401" max="14401" width="10.28515625" bestFit="1" customWidth="1"/>
    <col min="14402" max="14403" width="9.28515625" bestFit="1" customWidth="1"/>
    <col min="14405" max="14405" width="10.28515625" bestFit="1" customWidth="1"/>
    <col min="14406" max="14407" width="9.28515625" bestFit="1" customWidth="1"/>
    <col min="14409" max="14409" width="10.28515625" bestFit="1" customWidth="1"/>
    <col min="14410" max="14411" width="9.28515625" bestFit="1" customWidth="1"/>
    <col min="14413" max="14413" width="10.28515625" bestFit="1" customWidth="1"/>
    <col min="14414" max="14415" width="9.28515625" bestFit="1" customWidth="1"/>
    <col min="14417" max="14417" width="10.28515625" bestFit="1" customWidth="1"/>
    <col min="14418" max="14419" width="9.28515625" bestFit="1" customWidth="1"/>
    <col min="14421" max="14421" width="10.28515625" bestFit="1" customWidth="1"/>
    <col min="14422" max="14423" width="9.28515625" bestFit="1" customWidth="1"/>
    <col min="14425" max="14425" width="10.28515625" bestFit="1" customWidth="1"/>
    <col min="14426" max="14427" width="9.28515625" bestFit="1" customWidth="1"/>
    <col min="14429" max="14429" width="10.28515625" bestFit="1" customWidth="1"/>
    <col min="14430" max="14431" width="9.28515625" bestFit="1" customWidth="1"/>
    <col min="14433" max="14433" width="10.28515625" bestFit="1" customWidth="1"/>
    <col min="14434" max="14435" width="9.28515625" bestFit="1" customWidth="1"/>
    <col min="14437" max="14437" width="10.28515625" bestFit="1" customWidth="1"/>
    <col min="14438" max="14439" width="9.28515625" bestFit="1" customWidth="1"/>
    <col min="14441" max="14441" width="10.28515625" bestFit="1" customWidth="1"/>
    <col min="14442" max="14443" width="9.28515625" bestFit="1" customWidth="1"/>
    <col min="14445" max="14445" width="10.28515625" bestFit="1" customWidth="1"/>
    <col min="14446" max="14447" width="9.28515625" bestFit="1" customWidth="1"/>
    <col min="14449" max="14449" width="10.28515625" bestFit="1" customWidth="1"/>
    <col min="14450" max="14451" width="9.28515625" bestFit="1" customWidth="1"/>
    <col min="14453" max="14453" width="10.28515625" bestFit="1" customWidth="1"/>
    <col min="14454" max="14455" width="9.28515625" bestFit="1" customWidth="1"/>
    <col min="14457" max="14457" width="10.28515625" bestFit="1" customWidth="1"/>
    <col min="14458" max="14459" width="9.28515625" bestFit="1" customWidth="1"/>
    <col min="14461" max="14461" width="10.28515625" bestFit="1" customWidth="1"/>
    <col min="14462" max="14463" width="9.28515625" bestFit="1" customWidth="1"/>
    <col min="14465" max="14465" width="10.28515625" bestFit="1" customWidth="1"/>
    <col min="14466" max="14467" width="9.28515625" bestFit="1" customWidth="1"/>
    <col min="14469" max="14469" width="10.28515625" bestFit="1" customWidth="1"/>
    <col min="14470" max="14471" width="9.28515625" bestFit="1" customWidth="1"/>
    <col min="14473" max="14473" width="10.28515625" bestFit="1" customWidth="1"/>
    <col min="14474" max="14475" width="9.28515625" bestFit="1" customWidth="1"/>
    <col min="14477" max="14477" width="10.28515625" bestFit="1" customWidth="1"/>
    <col min="14478" max="14479" width="9.28515625" bestFit="1" customWidth="1"/>
    <col min="14481" max="14481" width="10.28515625" bestFit="1" customWidth="1"/>
    <col min="14482" max="14483" width="9.28515625" bestFit="1" customWidth="1"/>
    <col min="14485" max="14485" width="10.28515625" bestFit="1" customWidth="1"/>
    <col min="14486" max="14487" width="9.28515625" bestFit="1" customWidth="1"/>
    <col min="14489" max="14489" width="10.28515625" bestFit="1" customWidth="1"/>
    <col min="14490" max="14491" width="9.28515625" bestFit="1" customWidth="1"/>
    <col min="14493" max="14493" width="10.28515625" bestFit="1" customWidth="1"/>
    <col min="14494" max="14495" width="9.28515625" bestFit="1" customWidth="1"/>
    <col min="14497" max="14497" width="10.28515625" bestFit="1" customWidth="1"/>
    <col min="14498" max="14499" width="9.28515625" bestFit="1" customWidth="1"/>
    <col min="14501" max="14501" width="10.28515625" bestFit="1" customWidth="1"/>
    <col min="14502" max="14503" width="9.28515625" bestFit="1" customWidth="1"/>
    <col min="14505" max="14505" width="10.28515625" bestFit="1" customWidth="1"/>
    <col min="14506" max="14507" width="9.28515625" bestFit="1" customWidth="1"/>
    <col min="14509" max="14509" width="10.28515625" bestFit="1" customWidth="1"/>
    <col min="14510" max="14511" width="9.28515625" bestFit="1" customWidth="1"/>
    <col min="14513" max="14513" width="10.28515625" bestFit="1" customWidth="1"/>
    <col min="14514" max="14515" width="9.28515625" bestFit="1" customWidth="1"/>
    <col min="14517" max="14517" width="10.28515625" bestFit="1" customWidth="1"/>
    <col min="14518" max="14519" width="9.28515625" bestFit="1" customWidth="1"/>
    <col min="14521" max="14521" width="10.28515625" bestFit="1" customWidth="1"/>
    <col min="14522" max="14523" width="9.28515625" bestFit="1" customWidth="1"/>
    <col min="14525" max="14525" width="10.28515625" bestFit="1" customWidth="1"/>
    <col min="14526" max="14527" width="9.28515625" bestFit="1" customWidth="1"/>
    <col min="14529" max="14529" width="10.28515625" bestFit="1" customWidth="1"/>
    <col min="14530" max="14531" width="9.28515625" bestFit="1" customWidth="1"/>
    <col min="14533" max="14533" width="10.28515625" bestFit="1" customWidth="1"/>
    <col min="14534" max="14535" width="9.28515625" bestFit="1" customWidth="1"/>
    <col min="14537" max="14537" width="10.28515625" bestFit="1" customWidth="1"/>
    <col min="14538" max="14539" width="9.28515625" bestFit="1" customWidth="1"/>
    <col min="14541" max="14541" width="10.28515625" bestFit="1" customWidth="1"/>
    <col min="14542" max="14543" width="9.28515625" bestFit="1" customWidth="1"/>
    <col min="14545" max="14545" width="10.28515625" bestFit="1" customWidth="1"/>
    <col min="14546" max="14547" width="9.28515625" bestFit="1" customWidth="1"/>
    <col min="14549" max="14549" width="10.28515625" bestFit="1" customWidth="1"/>
    <col min="14550" max="14551" width="9.28515625" bestFit="1" customWidth="1"/>
    <col min="14553" max="14553" width="10.28515625" bestFit="1" customWidth="1"/>
    <col min="14554" max="14555" width="9.28515625" bestFit="1" customWidth="1"/>
    <col min="14557" max="14557" width="10.28515625" bestFit="1" customWidth="1"/>
    <col min="14558" max="14559" width="9.28515625" bestFit="1" customWidth="1"/>
    <col min="14561" max="14561" width="10.28515625" bestFit="1" customWidth="1"/>
    <col min="14562" max="14563" width="9.28515625" bestFit="1" customWidth="1"/>
    <col min="14565" max="14565" width="10.28515625" bestFit="1" customWidth="1"/>
    <col min="14566" max="14567" width="9.28515625" bestFit="1" customWidth="1"/>
    <col min="14569" max="14569" width="10.28515625" bestFit="1" customWidth="1"/>
    <col min="14570" max="14571" width="9.28515625" bestFit="1" customWidth="1"/>
    <col min="14573" max="14573" width="10.28515625" bestFit="1" customWidth="1"/>
    <col min="14574" max="14575" width="9.28515625" bestFit="1" customWidth="1"/>
    <col min="14577" max="14577" width="10.28515625" bestFit="1" customWidth="1"/>
    <col min="14578" max="14579" width="9.28515625" bestFit="1" customWidth="1"/>
    <col min="14581" max="14581" width="10.28515625" bestFit="1" customWidth="1"/>
    <col min="14582" max="14583" width="9.28515625" bestFit="1" customWidth="1"/>
    <col min="14585" max="14585" width="10.28515625" bestFit="1" customWidth="1"/>
    <col min="14586" max="14587" width="9.28515625" bestFit="1" customWidth="1"/>
    <col min="14589" max="14589" width="10.28515625" bestFit="1" customWidth="1"/>
    <col min="14590" max="14591" width="9.28515625" bestFit="1" customWidth="1"/>
    <col min="14593" max="14593" width="10.28515625" bestFit="1" customWidth="1"/>
    <col min="14594" max="14595" width="9.28515625" bestFit="1" customWidth="1"/>
    <col min="14597" max="14597" width="10.28515625" bestFit="1" customWidth="1"/>
    <col min="14598" max="14599" width="9.28515625" bestFit="1" customWidth="1"/>
    <col min="14601" max="14601" width="10.28515625" bestFit="1" customWidth="1"/>
    <col min="14602" max="14603" width="9.28515625" bestFit="1" customWidth="1"/>
    <col min="14605" max="14605" width="10.28515625" bestFit="1" customWidth="1"/>
    <col min="14606" max="14607" width="9.28515625" bestFit="1" customWidth="1"/>
    <col min="14609" max="14609" width="10.28515625" bestFit="1" customWidth="1"/>
    <col min="14610" max="14611" width="9.28515625" bestFit="1" customWidth="1"/>
    <col min="14613" max="14613" width="10.28515625" bestFit="1" customWidth="1"/>
    <col min="14614" max="14615" width="9.28515625" bestFit="1" customWidth="1"/>
    <col min="14617" max="14617" width="10.28515625" bestFit="1" customWidth="1"/>
    <col min="14618" max="14619" width="9.28515625" bestFit="1" customWidth="1"/>
    <col min="14621" max="14621" width="10.28515625" bestFit="1" customWidth="1"/>
    <col min="14622" max="14623" width="9.28515625" bestFit="1" customWidth="1"/>
    <col min="14625" max="14625" width="10.28515625" bestFit="1" customWidth="1"/>
    <col min="14626" max="14627" width="9.28515625" bestFit="1" customWidth="1"/>
    <col min="14629" max="14629" width="10.28515625" bestFit="1" customWidth="1"/>
    <col min="14630" max="14631" width="9.28515625" bestFit="1" customWidth="1"/>
    <col min="14633" max="14633" width="10.28515625" bestFit="1" customWidth="1"/>
    <col min="14634" max="14635" width="9.28515625" bestFit="1" customWidth="1"/>
    <col min="14637" max="14637" width="10.28515625" bestFit="1" customWidth="1"/>
    <col min="14638" max="14639" width="9.28515625" bestFit="1" customWidth="1"/>
    <col min="14641" max="14641" width="10.28515625" bestFit="1" customWidth="1"/>
    <col min="14642" max="14643" width="9.28515625" bestFit="1" customWidth="1"/>
    <col min="14645" max="14645" width="10.28515625" bestFit="1" customWidth="1"/>
    <col min="14646" max="14647" width="9.28515625" bestFit="1" customWidth="1"/>
    <col min="14649" max="14649" width="10.28515625" bestFit="1" customWidth="1"/>
    <col min="14650" max="14651" width="9.28515625" bestFit="1" customWidth="1"/>
    <col min="14653" max="14653" width="10.28515625" bestFit="1" customWidth="1"/>
    <col min="14654" max="14655" width="9.28515625" bestFit="1" customWidth="1"/>
    <col min="14657" max="14657" width="10.28515625" bestFit="1" customWidth="1"/>
    <col min="14658" max="14659" width="9.28515625" bestFit="1" customWidth="1"/>
    <col min="14661" max="14661" width="10.28515625" bestFit="1" customWidth="1"/>
    <col min="14662" max="14663" width="9.28515625" bestFit="1" customWidth="1"/>
    <col min="14665" max="14665" width="10.28515625" bestFit="1" customWidth="1"/>
    <col min="14666" max="14667" width="9.28515625" bestFit="1" customWidth="1"/>
    <col min="14669" max="14669" width="10.28515625" bestFit="1" customWidth="1"/>
    <col min="14670" max="14671" width="9.28515625" bestFit="1" customWidth="1"/>
    <col min="14673" max="14673" width="10.28515625" bestFit="1" customWidth="1"/>
    <col min="14674" max="14675" width="9.28515625" bestFit="1" customWidth="1"/>
    <col min="14677" max="14677" width="10.28515625" bestFit="1" customWidth="1"/>
    <col min="14678" max="14679" width="9.28515625" bestFit="1" customWidth="1"/>
    <col min="14681" max="14681" width="10.28515625" bestFit="1" customWidth="1"/>
    <col min="14682" max="14683" width="9.28515625" bestFit="1" customWidth="1"/>
    <col min="14685" max="14685" width="10.28515625" bestFit="1" customWidth="1"/>
    <col min="14686" max="14687" width="9.28515625" bestFit="1" customWidth="1"/>
    <col min="14689" max="14689" width="10.28515625" bestFit="1" customWidth="1"/>
    <col min="14690" max="14691" width="9.28515625" bestFit="1" customWidth="1"/>
    <col min="14693" max="14693" width="10.28515625" bestFit="1" customWidth="1"/>
    <col min="14694" max="14695" width="9.28515625" bestFit="1" customWidth="1"/>
    <col min="14697" max="14697" width="10.28515625" bestFit="1" customWidth="1"/>
    <col min="14698" max="14699" width="9.28515625" bestFit="1" customWidth="1"/>
    <col min="14701" max="14701" width="10.28515625" bestFit="1" customWidth="1"/>
    <col min="14702" max="14703" width="9.28515625" bestFit="1" customWidth="1"/>
    <col min="14705" max="14705" width="10.28515625" bestFit="1" customWidth="1"/>
    <col min="14706" max="14707" width="9.28515625" bestFit="1" customWidth="1"/>
    <col min="14709" max="14709" width="10.28515625" bestFit="1" customWidth="1"/>
    <col min="14710" max="14711" width="9.28515625" bestFit="1" customWidth="1"/>
    <col min="14713" max="14713" width="10.28515625" bestFit="1" customWidth="1"/>
    <col min="14714" max="14715" width="9.28515625" bestFit="1" customWidth="1"/>
    <col min="14717" max="14717" width="10.28515625" bestFit="1" customWidth="1"/>
    <col min="14718" max="14719" width="9.28515625" bestFit="1" customWidth="1"/>
    <col min="14721" max="14721" width="10.28515625" bestFit="1" customWidth="1"/>
    <col min="14722" max="14723" width="9.28515625" bestFit="1" customWidth="1"/>
    <col min="14725" max="14725" width="10.28515625" bestFit="1" customWidth="1"/>
    <col min="14726" max="14727" width="9.28515625" bestFit="1" customWidth="1"/>
    <col min="14729" max="14729" width="10.28515625" bestFit="1" customWidth="1"/>
    <col min="14730" max="14731" width="9.28515625" bestFit="1" customWidth="1"/>
    <col min="14733" max="14733" width="10.28515625" bestFit="1" customWidth="1"/>
    <col min="14734" max="14735" width="9.28515625" bestFit="1" customWidth="1"/>
    <col min="14737" max="14737" width="10.28515625" bestFit="1" customWidth="1"/>
    <col min="14738" max="14739" width="9.28515625" bestFit="1" customWidth="1"/>
    <col min="14741" max="14741" width="10.28515625" bestFit="1" customWidth="1"/>
    <col min="14742" max="14743" width="9.28515625" bestFit="1" customWidth="1"/>
    <col min="14745" max="14745" width="10.28515625" bestFit="1" customWidth="1"/>
    <col min="14746" max="14747" width="9.28515625" bestFit="1" customWidth="1"/>
    <col min="14749" max="14749" width="10.28515625" bestFit="1" customWidth="1"/>
    <col min="14750" max="14751" width="9.28515625" bestFit="1" customWidth="1"/>
    <col min="14753" max="14753" width="10.28515625" bestFit="1" customWidth="1"/>
    <col min="14754" max="14755" width="9.28515625" bestFit="1" customWidth="1"/>
    <col min="14757" max="14757" width="10.28515625" bestFit="1" customWidth="1"/>
    <col min="14758" max="14759" width="9.28515625" bestFit="1" customWidth="1"/>
    <col min="14761" max="14761" width="10.28515625" bestFit="1" customWidth="1"/>
    <col min="14762" max="14763" width="9.28515625" bestFit="1" customWidth="1"/>
    <col min="14765" max="14765" width="10.28515625" bestFit="1" customWidth="1"/>
    <col min="14766" max="14767" width="9.28515625" bestFit="1" customWidth="1"/>
    <col min="14769" max="14769" width="10.28515625" bestFit="1" customWidth="1"/>
    <col min="14770" max="14771" width="9.28515625" bestFit="1" customWidth="1"/>
    <col min="14773" max="14773" width="10.28515625" bestFit="1" customWidth="1"/>
    <col min="14774" max="14775" width="9.28515625" bestFit="1" customWidth="1"/>
    <col min="14777" max="14777" width="10.28515625" bestFit="1" customWidth="1"/>
    <col min="14778" max="14779" width="9.28515625" bestFit="1" customWidth="1"/>
    <col min="14781" max="14781" width="10.28515625" bestFit="1" customWidth="1"/>
    <col min="14782" max="14783" width="9.28515625" bestFit="1" customWidth="1"/>
    <col min="14785" max="14785" width="10.28515625" bestFit="1" customWidth="1"/>
    <col min="14786" max="14787" width="9.28515625" bestFit="1" customWidth="1"/>
    <col min="14789" max="14789" width="10.28515625" bestFit="1" customWidth="1"/>
    <col min="14790" max="14791" width="9.28515625" bestFit="1" customWidth="1"/>
    <col min="14793" max="14793" width="10.28515625" bestFit="1" customWidth="1"/>
    <col min="14794" max="14795" width="9.28515625" bestFit="1" customWidth="1"/>
    <col min="14797" max="14797" width="10.28515625" bestFit="1" customWidth="1"/>
    <col min="14798" max="14799" width="9.28515625" bestFit="1" customWidth="1"/>
    <col min="14801" max="14801" width="10.28515625" bestFit="1" customWidth="1"/>
    <col min="14802" max="14803" width="9.28515625" bestFit="1" customWidth="1"/>
    <col min="14805" max="14805" width="10.28515625" bestFit="1" customWidth="1"/>
    <col min="14806" max="14807" width="9.28515625" bestFit="1" customWidth="1"/>
    <col min="14809" max="14809" width="10.28515625" bestFit="1" customWidth="1"/>
    <col min="14810" max="14811" width="9.28515625" bestFit="1" customWidth="1"/>
    <col min="14813" max="14813" width="10.28515625" bestFit="1" customWidth="1"/>
    <col min="14814" max="14815" width="9.28515625" bestFit="1" customWidth="1"/>
    <col min="14817" max="14817" width="10.28515625" bestFit="1" customWidth="1"/>
    <col min="14818" max="14819" width="9.28515625" bestFit="1" customWidth="1"/>
    <col min="14821" max="14821" width="10.28515625" bestFit="1" customWidth="1"/>
    <col min="14822" max="14823" width="9.28515625" bestFit="1" customWidth="1"/>
    <col min="14825" max="14825" width="10.28515625" bestFit="1" customWidth="1"/>
    <col min="14826" max="14827" width="9.28515625" bestFit="1" customWidth="1"/>
    <col min="14829" max="14829" width="10.28515625" bestFit="1" customWidth="1"/>
    <col min="14830" max="14831" width="9.28515625" bestFit="1" customWidth="1"/>
    <col min="14833" max="14833" width="10.28515625" bestFit="1" customWidth="1"/>
    <col min="14834" max="14835" width="9.28515625" bestFit="1" customWidth="1"/>
    <col min="14837" max="14837" width="10.28515625" bestFit="1" customWidth="1"/>
    <col min="14838" max="14839" width="9.28515625" bestFit="1" customWidth="1"/>
    <col min="14841" max="14841" width="10.28515625" bestFit="1" customWidth="1"/>
    <col min="14842" max="14843" width="9.28515625" bestFit="1" customWidth="1"/>
    <col min="14845" max="14845" width="10.28515625" bestFit="1" customWidth="1"/>
    <col min="14846" max="14847" width="9.28515625" bestFit="1" customWidth="1"/>
    <col min="14849" max="14849" width="10.28515625" bestFit="1" customWidth="1"/>
    <col min="14850" max="14851" width="9.28515625" bestFit="1" customWidth="1"/>
    <col min="14853" max="14853" width="10.28515625" bestFit="1" customWidth="1"/>
    <col min="14854" max="14855" width="9.28515625" bestFit="1" customWidth="1"/>
    <col min="14857" max="14857" width="10.28515625" bestFit="1" customWidth="1"/>
    <col min="14858" max="14859" width="9.28515625" bestFit="1" customWidth="1"/>
    <col min="14861" max="14861" width="10.28515625" bestFit="1" customWidth="1"/>
    <col min="14862" max="14863" width="9.28515625" bestFit="1" customWidth="1"/>
    <col min="14865" max="14865" width="10.28515625" bestFit="1" customWidth="1"/>
    <col min="14866" max="14867" width="9.28515625" bestFit="1" customWidth="1"/>
    <col min="14869" max="14869" width="10.28515625" bestFit="1" customWidth="1"/>
    <col min="14870" max="14871" width="9.28515625" bestFit="1" customWidth="1"/>
    <col min="14873" max="14873" width="10.28515625" bestFit="1" customWidth="1"/>
    <col min="14874" max="14875" width="9.28515625" bestFit="1" customWidth="1"/>
    <col min="14877" max="14877" width="10.28515625" bestFit="1" customWidth="1"/>
    <col min="14878" max="14879" width="9.28515625" bestFit="1" customWidth="1"/>
    <col min="14881" max="14881" width="10.28515625" bestFit="1" customWidth="1"/>
    <col min="14882" max="14883" width="9.28515625" bestFit="1" customWidth="1"/>
    <col min="14885" max="14885" width="10.28515625" bestFit="1" customWidth="1"/>
    <col min="14886" max="14887" width="9.28515625" bestFit="1" customWidth="1"/>
    <col min="14889" max="14889" width="10.28515625" bestFit="1" customWidth="1"/>
    <col min="14890" max="14891" width="9.28515625" bestFit="1" customWidth="1"/>
    <col min="14893" max="14893" width="10.28515625" bestFit="1" customWidth="1"/>
    <col min="14894" max="14895" width="9.28515625" bestFit="1" customWidth="1"/>
    <col min="14897" max="14897" width="10.28515625" bestFit="1" customWidth="1"/>
    <col min="14898" max="14899" width="9.28515625" bestFit="1" customWidth="1"/>
    <col min="14901" max="14901" width="10.28515625" bestFit="1" customWidth="1"/>
    <col min="14902" max="14903" width="9.28515625" bestFit="1" customWidth="1"/>
    <col min="14905" max="14905" width="10.28515625" bestFit="1" customWidth="1"/>
    <col min="14906" max="14907" width="9.28515625" bestFit="1" customWidth="1"/>
    <col min="14909" max="14909" width="10.28515625" bestFit="1" customWidth="1"/>
    <col min="14910" max="14911" width="9.28515625" bestFit="1" customWidth="1"/>
    <col min="14913" max="14913" width="10.28515625" bestFit="1" customWidth="1"/>
    <col min="14914" max="14915" width="9.28515625" bestFit="1" customWidth="1"/>
    <col min="14917" max="14917" width="10.28515625" bestFit="1" customWidth="1"/>
    <col min="14918" max="14919" width="9.28515625" bestFit="1" customWidth="1"/>
    <col min="14921" max="14921" width="10.28515625" bestFit="1" customWidth="1"/>
    <col min="14922" max="14923" width="9.28515625" bestFit="1" customWidth="1"/>
    <col min="14925" max="14925" width="10.28515625" bestFit="1" customWidth="1"/>
    <col min="14926" max="14927" width="9.28515625" bestFit="1" customWidth="1"/>
    <col min="14929" max="14929" width="10.28515625" bestFit="1" customWidth="1"/>
    <col min="14930" max="14931" width="9.28515625" bestFit="1" customWidth="1"/>
    <col min="14933" max="14933" width="10.28515625" bestFit="1" customWidth="1"/>
    <col min="14934" max="14935" width="9.28515625" bestFit="1" customWidth="1"/>
    <col min="14937" max="14937" width="10.28515625" bestFit="1" customWidth="1"/>
    <col min="14938" max="14939" width="9.28515625" bestFit="1" customWidth="1"/>
    <col min="14941" max="14941" width="10.28515625" bestFit="1" customWidth="1"/>
    <col min="14942" max="14943" width="9.28515625" bestFit="1" customWidth="1"/>
    <col min="14945" max="14945" width="10.28515625" bestFit="1" customWidth="1"/>
    <col min="14946" max="14947" width="9.28515625" bestFit="1" customWidth="1"/>
    <col min="14949" max="14949" width="10.28515625" bestFit="1" customWidth="1"/>
    <col min="14950" max="14951" width="9.28515625" bestFit="1" customWidth="1"/>
    <col min="14953" max="14953" width="10.28515625" bestFit="1" customWidth="1"/>
    <col min="14954" max="14955" width="9.28515625" bestFit="1" customWidth="1"/>
    <col min="14957" max="14957" width="10.28515625" bestFit="1" customWidth="1"/>
    <col min="14958" max="14959" width="9.28515625" bestFit="1" customWidth="1"/>
    <col min="14961" max="14961" width="10.28515625" bestFit="1" customWidth="1"/>
    <col min="14962" max="14963" width="9.28515625" bestFit="1" customWidth="1"/>
    <col min="14965" max="14965" width="10.28515625" bestFit="1" customWidth="1"/>
    <col min="14966" max="14967" width="9.28515625" bestFit="1" customWidth="1"/>
    <col min="14969" max="14969" width="10.28515625" bestFit="1" customWidth="1"/>
    <col min="14970" max="14971" width="9.28515625" bestFit="1" customWidth="1"/>
    <col min="14973" max="14973" width="10.28515625" bestFit="1" customWidth="1"/>
    <col min="14974" max="14975" width="9.28515625" bestFit="1" customWidth="1"/>
    <col min="14977" max="14977" width="10.28515625" bestFit="1" customWidth="1"/>
    <col min="14978" max="14979" width="9.28515625" bestFit="1" customWidth="1"/>
    <col min="14981" max="14981" width="10.28515625" bestFit="1" customWidth="1"/>
    <col min="14982" max="14983" width="9.28515625" bestFit="1" customWidth="1"/>
    <col min="14985" max="14985" width="10.28515625" bestFit="1" customWidth="1"/>
    <col min="14986" max="14987" width="9.28515625" bestFit="1" customWidth="1"/>
    <col min="14989" max="14989" width="10.28515625" bestFit="1" customWidth="1"/>
    <col min="14990" max="14991" width="9.28515625" bestFit="1" customWidth="1"/>
    <col min="14993" max="14993" width="10.28515625" bestFit="1" customWidth="1"/>
    <col min="14994" max="14995" width="9.28515625" bestFit="1" customWidth="1"/>
    <col min="14997" max="14997" width="10.28515625" bestFit="1" customWidth="1"/>
    <col min="14998" max="14999" width="9.28515625" bestFit="1" customWidth="1"/>
    <col min="15001" max="15001" width="10.28515625" bestFit="1" customWidth="1"/>
    <col min="15002" max="15003" width="9.28515625" bestFit="1" customWidth="1"/>
    <col min="15005" max="15005" width="10.28515625" bestFit="1" customWidth="1"/>
    <col min="15006" max="15007" width="9.28515625" bestFit="1" customWidth="1"/>
    <col min="15009" max="15009" width="10.28515625" bestFit="1" customWidth="1"/>
    <col min="15010" max="15011" width="9.28515625" bestFit="1" customWidth="1"/>
    <col min="15013" max="15013" width="10.28515625" bestFit="1" customWidth="1"/>
    <col min="15014" max="15015" width="9.28515625" bestFit="1" customWidth="1"/>
    <col min="15017" max="15017" width="10.28515625" bestFit="1" customWidth="1"/>
    <col min="15018" max="15019" width="9.28515625" bestFit="1" customWidth="1"/>
    <col min="15021" max="15021" width="10.28515625" bestFit="1" customWidth="1"/>
    <col min="15022" max="15023" width="9.28515625" bestFit="1" customWidth="1"/>
    <col min="15025" max="15025" width="10.28515625" bestFit="1" customWidth="1"/>
    <col min="15026" max="15027" width="9.28515625" bestFit="1" customWidth="1"/>
    <col min="15029" max="15029" width="10.28515625" bestFit="1" customWidth="1"/>
    <col min="15030" max="15031" width="9.28515625" bestFit="1" customWidth="1"/>
    <col min="15033" max="15033" width="10.28515625" bestFit="1" customWidth="1"/>
    <col min="15034" max="15035" width="9.28515625" bestFit="1" customWidth="1"/>
    <col min="15037" max="15037" width="10.28515625" bestFit="1" customWidth="1"/>
    <col min="15038" max="15039" width="9.28515625" bestFit="1" customWidth="1"/>
    <col min="15041" max="15041" width="10.28515625" bestFit="1" customWidth="1"/>
    <col min="15042" max="15043" width="9.28515625" bestFit="1" customWidth="1"/>
    <col min="15045" max="15045" width="10.28515625" bestFit="1" customWidth="1"/>
    <col min="15046" max="15047" width="9.28515625" bestFit="1" customWidth="1"/>
    <col min="15049" max="15049" width="10.28515625" bestFit="1" customWidth="1"/>
    <col min="15050" max="15051" width="9.28515625" bestFit="1" customWidth="1"/>
    <col min="15053" max="15053" width="10.28515625" bestFit="1" customWidth="1"/>
    <col min="15054" max="15055" width="9.28515625" bestFit="1" customWidth="1"/>
    <col min="15057" max="15057" width="10.28515625" bestFit="1" customWidth="1"/>
    <col min="15058" max="15059" width="9.28515625" bestFit="1" customWidth="1"/>
    <col min="15061" max="15061" width="10.28515625" bestFit="1" customWidth="1"/>
    <col min="15062" max="15063" width="9.28515625" bestFit="1" customWidth="1"/>
    <col min="15065" max="15065" width="10.28515625" bestFit="1" customWidth="1"/>
    <col min="15066" max="15067" width="9.28515625" bestFit="1" customWidth="1"/>
    <col min="15069" max="15069" width="10.28515625" bestFit="1" customWidth="1"/>
    <col min="15070" max="15071" width="9.28515625" bestFit="1" customWidth="1"/>
    <col min="15073" max="15073" width="10.28515625" bestFit="1" customWidth="1"/>
    <col min="15074" max="15075" width="9.28515625" bestFit="1" customWidth="1"/>
    <col min="15077" max="15077" width="10.28515625" bestFit="1" customWidth="1"/>
    <col min="15078" max="15079" width="9.28515625" bestFit="1" customWidth="1"/>
    <col min="15081" max="15081" width="10.28515625" bestFit="1" customWidth="1"/>
    <col min="15082" max="15083" width="9.28515625" bestFit="1" customWidth="1"/>
    <col min="15085" max="15085" width="10.28515625" bestFit="1" customWidth="1"/>
    <col min="15086" max="15087" width="9.28515625" bestFit="1" customWidth="1"/>
    <col min="15089" max="15089" width="10.28515625" bestFit="1" customWidth="1"/>
    <col min="15090" max="15091" width="9.28515625" bestFit="1" customWidth="1"/>
    <col min="15093" max="15093" width="10.28515625" bestFit="1" customWidth="1"/>
    <col min="15094" max="15095" width="9.28515625" bestFit="1" customWidth="1"/>
    <col min="15097" max="15097" width="10.28515625" bestFit="1" customWidth="1"/>
    <col min="15098" max="15099" width="9.28515625" bestFit="1" customWidth="1"/>
    <col min="15101" max="15101" width="10.28515625" bestFit="1" customWidth="1"/>
    <col min="15102" max="15103" width="9.28515625" bestFit="1" customWidth="1"/>
    <col min="15105" max="15105" width="10.28515625" bestFit="1" customWidth="1"/>
    <col min="15106" max="15107" width="9.28515625" bestFit="1" customWidth="1"/>
    <col min="15109" max="15109" width="10.28515625" bestFit="1" customWidth="1"/>
    <col min="15110" max="15111" width="9.28515625" bestFit="1" customWidth="1"/>
    <col min="15113" max="15113" width="10.28515625" bestFit="1" customWidth="1"/>
    <col min="15114" max="15115" width="9.28515625" bestFit="1" customWidth="1"/>
    <col min="15117" max="15117" width="10.28515625" bestFit="1" customWidth="1"/>
    <col min="15118" max="15119" width="9.28515625" bestFit="1" customWidth="1"/>
    <col min="15121" max="15121" width="10.28515625" bestFit="1" customWidth="1"/>
    <col min="15122" max="15123" width="9.28515625" bestFit="1" customWidth="1"/>
    <col min="15125" max="15125" width="10.28515625" bestFit="1" customWidth="1"/>
    <col min="15126" max="15127" width="9.28515625" bestFit="1" customWidth="1"/>
    <col min="15129" max="15129" width="10.28515625" bestFit="1" customWidth="1"/>
    <col min="15130" max="15131" width="9.28515625" bestFit="1" customWidth="1"/>
    <col min="15133" max="15133" width="10.28515625" bestFit="1" customWidth="1"/>
    <col min="15134" max="15135" width="9.28515625" bestFit="1" customWidth="1"/>
    <col min="15137" max="15137" width="10.28515625" bestFit="1" customWidth="1"/>
    <col min="15138" max="15139" width="9.28515625" bestFit="1" customWidth="1"/>
    <col min="15141" max="15141" width="10.28515625" bestFit="1" customWidth="1"/>
    <col min="15142" max="15143" width="9.28515625" bestFit="1" customWidth="1"/>
    <col min="15145" max="15145" width="10.28515625" bestFit="1" customWidth="1"/>
    <col min="15146" max="15147" width="9.28515625" bestFit="1" customWidth="1"/>
    <col min="15149" max="15149" width="10.28515625" bestFit="1" customWidth="1"/>
    <col min="15150" max="15151" width="9.28515625" bestFit="1" customWidth="1"/>
    <col min="15153" max="15153" width="10.28515625" bestFit="1" customWidth="1"/>
    <col min="15154" max="15155" width="9.28515625" bestFit="1" customWidth="1"/>
    <col min="15157" max="15157" width="10.28515625" bestFit="1" customWidth="1"/>
    <col min="15158" max="15159" width="9.28515625" bestFit="1" customWidth="1"/>
    <col min="15161" max="15161" width="10.28515625" bestFit="1" customWidth="1"/>
    <col min="15162" max="15163" width="9.28515625" bestFit="1" customWidth="1"/>
    <col min="15165" max="15165" width="10.28515625" bestFit="1" customWidth="1"/>
    <col min="15166" max="15167" width="9.28515625" bestFit="1" customWidth="1"/>
    <col min="15169" max="15169" width="10.28515625" bestFit="1" customWidth="1"/>
    <col min="15170" max="15171" width="9.28515625" bestFit="1" customWidth="1"/>
    <col min="15173" max="15173" width="10.28515625" bestFit="1" customWidth="1"/>
    <col min="15174" max="15175" width="9.28515625" bestFit="1" customWidth="1"/>
    <col min="15177" max="15177" width="10.28515625" bestFit="1" customWidth="1"/>
    <col min="15178" max="15179" width="9.28515625" bestFit="1" customWidth="1"/>
    <col min="15181" max="15181" width="10.28515625" bestFit="1" customWidth="1"/>
    <col min="15182" max="15183" width="9.28515625" bestFit="1" customWidth="1"/>
    <col min="15185" max="15185" width="10.28515625" bestFit="1" customWidth="1"/>
    <col min="15186" max="15187" width="9.28515625" bestFit="1" customWidth="1"/>
    <col min="15189" max="15189" width="10.28515625" bestFit="1" customWidth="1"/>
    <col min="15190" max="15191" width="9.28515625" bestFit="1" customWidth="1"/>
    <col min="15193" max="15193" width="10.28515625" bestFit="1" customWidth="1"/>
    <col min="15194" max="15195" width="9.28515625" bestFit="1" customWidth="1"/>
    <col min="15197" max="15197" width="10.28515625" bestFit="1" customWidth="1"/>
    <col min="15198" max="15199" width="9.28515625" bestFit="1" customWidth="1"/>
    <col min="15201" max="15201" width="10.28515625" bestFit="1" customWidth="1"/>
    <col min="15202" max="15203" width="9.28515625" bestFit="1" customWidth="1"/>
    <col min="15205" max="15205" width="10.28515625" bestFit="1" customWidth="1"/>
    <col min="15206" max="15207" width="9.28515625" bestFit="1" customWidth="1"/>
    <col min="15209" max="15209" width="10.28515625" bestFit="1" customWidth="1"/>
    <col min="15210" max="15211" width="9.28515625" bestFit="1" customWidth="1"/>
    <col min="15213" max="15213" width="10.28515625" bestFit="1" customWidth="1"/>
    <col min="15214" max="15215" width="9.28515625" bestFit="1" customWidth="1"/>
    <col min="15217" max="15217" width="10.28515625" bestFit="1" customWidth="1"/>
    <col min="15218" max="15219" width="9.28515625" bestFit="1" customWidth="1"/>
    <col min="15221" max="15221" width="10.28515625" bestFit="1" customWidth="1"/>
    <col min="15222" max="15223" width="9.28515625" bestFit="1" customWidth="1"/>
    <col min="15225" max="15225" width="10.28515625" bestFit="1" customWidth="1"/>
    <col min="15226" max="15227" width="9.28515625" bestFit="1" customWidth="1"/>
    <col min="15229" max="15229" width="10.28515625" bestFit="1" customWidth="1"/>
    <col min="15230" max="15231" width="9.28515625" bestFit="1" customWidth="1"/>
    <col min="15233" max="15233" width="10.28515625" bestFit="1" customWidth="1"/>
    <col min="15234" max="15235" width="9.28515625" bestFit="1" customWidth="1"/>
    <col min="15237" max="15237" width="10.28515625" bestFit="1" customWidth="1"/>
    <col min="15238" max="15239" width="9.28515625" bestFit="1" customWidth="1"/>
    <col min="15241" max="15241" width="10.28515625" bestFit="1" customWidth="1"/>
    <col min="15242" max="15243" width="9.28515625" bestFit="1" customWidth="1"/>
    <col min="15245" max="15245" width="10.28515625" bestFit="1" customWidth="1"/>
    <col min="15246" max="15247" width="9.28515625" bestFit="1" customWidth="1"/>
    <col min="15249" max="15249" width="10.28515625" bestFit="1" customWidth="1"/>
    <col min="15250" max="15251" width="9.28515625" bestFit="1" customWidth="1"/>
    <col min="15253" max="15253" width="10.28515625" bestFit="1" customWidth="1"/>
    <col min="15254" max="15255" width="9.28515625" bestFit="1" customWidth="1"/>
    <col min="15257" max="15257" width="10.28515625" bestFit="1" customWidth="1"/>
    <col min="15258" max="15259" width="9.28515625" bestFit="1" customWidth="1"/>
    <col min="15261" max="15261" width="10.28515625" bestFit="1" customWidth="1"/>
    <col min="15262" max="15263" width="9.28515625" bestFit="1" customWidth="1"/>
    <col min="15265" max="15265" width="10.28515625" bestFit="1" customWidth="1"/>
    <col min="15266" max="15267" width="9.28515625" bestFit="1" customWidth="1"/>
    <col min="15269" max="15269" width="10.28515625" bestFit="1" customWidth="1"/>
    <col min="15270" max="15271" width="9.28515625" bestFit="1" customWidth="1"/>
    <col min="15273" max="15273" width="10.28515625" bestFit="1" customWidth="1"/>
    <col min="15274" max="15275" width="9.28515625" bestFit="1" customWidth="1"/>
    <col min="15277" max="15277" width="10.28515625" bestFit="1" customWidth="1"/>
    <col min="15278" max="15279" width="9.28515625" bestFit="1" customWidth="1"/>
    <col min="15281" max="15281" width="10.28515625" bestFit="1" customWidth="1"/>
    <col min="15282" max="15283" width="9.28515625" bestFit="1" customWidth="1"/>
    <col min="15285" max="15285" width="10.28515625" bestFit="1" customWidth="1"/>
    <col min="15286" max="15287" width="9.28515625" bestFit="1" customWidth="1"/>
    <col min="15289" max="15289" width="10.28515625" bestFit="1" customWidth="1"/>
    <col min="15290" max="15291" width="9.28515625" bestFit="1" customWidth="1"/>
    <col min="15293" max="15293" width="10.28515625" bestFit="1" customWidth="1"/>
    <col min="15294" max="15295" width="9.28515625" bestFit="1" customWidth="1"/>
    <col min="15297" max="15297" width="10.28515625" bestFit="1" customWidth="1"/>
    <col min="15298" max="15299" width="9.28515625" bestFit="1" customWidth="1"/>
    <col min="15301" max="15301" width="10.28515625" bestFit="1" customWidth="1"/>
    <col min="15302" max="15303" width="9.28515625" bestFit="1" customWidth="1"/>
    <col min="15305" max="15305" width="10.28515625" bestFit="1" customWidth="1"/>
    <col min="15306" max="15307" width="9.28515625" bestFit="1" customWidth="1"/>
    <col min="15309" max="15309" width="10.28515625" bestFit="1" customWidth="1"/>
    <col min="15310" max="15311" width="9.28515625" bestFit="1" customWidth="1"/>
    <col min="15313" max="15313" width="10.28515625" bestFit="1" customWidth="1"/>
    <col min="15314" max="15315" width="9.28515625" bestFit="1" customWidth="1"/>
    <col min="15317" max="15317" width="10.28515625" bestFit="1" customWidth="1"/>
    <col min="15318" max="15319" width="9.28515625" bestFit="1" customWidth="1"/>
    <col min="15321" max="15321" width="10.28515625" bestFit="1" customWidth="1"/>
    <col min="15322" max="15323" width="9.28515625" bestFit="1" customWidth="1"/>
    <col min="15325" max="15325" width="10.28515625" bestFit="1" customWidth="1"/>
    <col min="15326" max="15327" width="9.28515625" bestFit="1" customWidth="1"/>
    <col min="15329" max="15329" width="10.28515625" bestFit="1" customWidth="1"/>
    <col min="15330" max="15331" width="9.28515625" bestFit="1" customWidth="1"/>
    <col min="15333" max="15333" width="10.28515625" bestFit="1" customWidth="1"/>
    <col min="15334" max="15335" width="9.28515625" bestFit="1" customWidth="1"/>
    <col min="15337" max="15337" width="10.28515625" bestFit="1" customWidth="1"/>
    <col min="15338" max="15339" width="9.28515625" bestFit="1" customWidth="1"/>
    <col min="15341" max="15341" width="10.28515625" bestFit="1" customWidth="1"/>
    <col min="15342" max="15343" width="9.28515625" bestFit="1" customWidth="1"/>
    <col min="15345" max="15345" width="10.28515625" bestFit="1" customWidth="1"/>
    <col min="15346" max="15347" width="9.28515625" bestFit="1" customWidth="1"/>
    <col min="15349" max="15349" width="10.28515625" bestFit="1" customWidth="1"/>
    <col min="15350" max="15351" width="9.28515625" bestFit="1" customWidth="1"/>
    <col min="15353" max="15353" width="10.28515625" bestFit="1" customWidth="1"/>
    <col min="15354" max="15355" width="9.28515625" bestFit="1" customWidth="1"/>
    <col min="15357" max="15357" width="10.28515625" bestFit="1" customWidth="1"/>
    <col min="15358" max="15359" width="9.28515625" bestFit="1" customWidth="1"/>
    <col min="15361" max="15361" width="10.28515625" bestFit="1" customWidth="1"/>
    <col min="15362" max="15363" width="9.28515625" bestFit="1" customWidth="1"/>
    <col min="15365" max="15365" width="10.28515625" bestFit="1" customWidth="1"/>
    <col min="15366" max="15367" width="9.28515625" bestFit="1" customWidth="1"/>
    <col min="15369" max="15369" width="10.28515625" bestFit="1" customWidth="1"/>
    <col min="15370" max="15371" width="9.28515625" bestFit="1" customWidth="1"/>
    <col min="15373" max="15373" width="10.28515625" bestFit="1" customWidth="1"/>
    <col min="15374" max="15375" width="9.28515625" bestFit="1" customWidth="1"/>
    <col min="15377" max="15377" width="10.28515625" bestFit="1" customWidth="1"/>
    <col min="15378" max="15379" width="9.28515625" bestFit="1" customWidth="1"/>
    <col min="15381" max="15381" width="10.28515625" bestFit="1" customWidth="1"/>
    <col min="15382" max="15383" width="9.28515625" bestFit="1" customWidth="1"/>
    <col min="15385" max="15385" width="10.28515625" bestFit="1" customWidth="1"/>
    <col min="15386" max="15387" width="9.28515625" bestFit="1" customWidth="1"/>
    <col min="15389" max="15389" width="10.28515625" bestFit="1" customWidth="1"/>
    <col min="15390" max="15391" width="9.28515625" bestFit="1" customWidth="1"/>
    <col min="15393" max="15393" width="10.28515625" bestFit="1" customWidth="1"/>
    <col min="15394" max="15395" width="9.28515625" bestFit="1" customWidth="1"/>
    <col min="15397" max="15397" width="10.28515625" bestFit="1" customWidth="1"/>
    <col min="15398" max="15399" width="9.28515625" bestFit="1" customWidth="1"/>
    <col min="15401" max="15401" width="10.28515625" bestFit="1" customWidth="1"/>
    <col min="15402" max="15403" width="9.28515625" bestFit="1" customWidth="1"/>
    <col min="15405" max="15405" width="10.28515625" bestFit="1" customWidth="1"/>
    <col min="15406" max="15407" width="9.28515625" bestFit="1" customWidth="1"/>
    <col min="15409" max="15409" width="10.28515625" bestFit="1" customWidth="1"/>
    <col min="15410" max="15411" width="9.28515625" bestFit="1" customWidth="1"/>
    <col min="15413" max="15413" width="10.28515625" bestFit="1" customWidth="1"/>
    <col min="15414" max="15415" width="9.28515625" bestFit="1" customWidth="1"/>
    <col min="15417" max="15417" width="10.28515625" bestFit="1" customWidth="1"/>
    <col min="15418" max="15419" width="9.28515625" bestFit="1" customWidth="1"/>
    <col min="15421" max="15421" width="10.28515625" bestFit="1" customWidth="1"/>
    <col min="15422" max="15423" width="9.28515625" bestFit="1" customWidth="1"/>
    <col min="15425" max="15425" width="10.28515625" bestFit="1" customWidth="1"/>
    <col min="15426" max="15427" width="9.28515625" bestFit="1" customWidth="1"/>
    <col min="15429" max="15429" width="10.28515625" bestFit="1" customWidth="1"/>
    <col min="15430" max="15431" width="9.28515625" bestFit="1" customWidth="1"/>
    <col min="15433" max="15433" width="10.28515625" bestFit="1" customWidth="1"/>
    <col min="15434" max="15435" width="9.28515625" bestFit="1" customWidth="1"/>
    <col min="15437" max="15437" width="10.28515625" bestFit="1" customWidth="1"/>
    <col min="15438" max="15439" width="9.28515625" bestFit="1" customWidth="1"/>
    <col min="15441" max="15441" width="10.28515625" bestFit="1" customWidth="1"/>
    <col min="15442" max="15443" width="9.28515625" bestFit="1" customWidth="1"/>
    <col min="15445" max="15445" width="10.28515625" bestFit="1" customWidth="1"/>
    <col min="15446" max="15447" width="9.28515625" bestFit="1" customWidth="1"/>
    <col min="15449" max="15449" width="10.28515625" bestFit="1" customWidth="1"/>
    <col min="15450" max="15451" width="9.28515625" bestFit="1" customWidth="1"/>
    <col min="15453" max="15453" width="10.28515625" bestFit="1" customWidth="1"/>
    <col min="15454" max="15455" width="9.28515625" bestFit="1" customWidth="1"/>
    <col min="15457" max="15457" width="10.28515625" bestFit="1" customWidth="1"/>
    <col min="15458" max="15459" width="9.28515625" bestFit="1" customWidth="1"/>
    <col min="15461" max="15461" width="10.28515625" bestFit="1" customWidth="1"/>
    <col min="15462" max="15463" width="9.28515625" bestFit="1" customWidth="1"/>
    <col min="15465" max="15465" width="10.28515625" bestFit="1" customWidth="1"/>
    <col min="15466" max="15467" width="9.28515625" bestFit="1" customWidth="1"/>
    <col min="15469" max="15469" width="10.28515625" bestFit="1" customWidth="1"/>
    <col min="15470" max="15471" width="9.28515625" bestFit="1" customWidth="1"/>
    <col min="15473" max="15473" width="10.28515625" bestFit="1" customWidth="1"/>
    <col min="15474" max="15475" width="9.28515625" bestFit="1" customWidth="1"/>
    <col min="15477" max="15477" width="10.28515625" bestFit="1" customWidth="1"/>
    <col min="15478" max="15479" width="9.28515625" bestFit="1" customWidth="1"/>
    <col min="15481" max="15481" width="10.28515625" bestFit="1" customWidth="1"/>
    <col min="15482" max="15483" width="9.28515625" bestFit="1" customWidth="1"/>
    <col min="15485" max="15485" width="10.28515625" bestFit="1" customWidth="1"/>
    <col min="15486" max="15487" width="9.28515625" bestFit="1" customWidth="1"/>
    <col min="15489" max="15489" width="10.28515625" bestFit="1" customWidth="1"/>
    <col min="15490" max="15491" width="9.28515625" bestFit="1" customWidth="1"/>
    <col min="15493" max="15493" width="10.28515625" bestFit="1" customWidth="1"/>
    <col min="15494" max="15495" width="9.28515625" bestFit="1" customWidth="1"/>
    <col min="15497" max="15497" width="10.28515625" bestFit="1" customWidth="1"/>
    <col min="15498" max="15499" width="9.28515625" bestFit="1" customWidth="1"/>
    <col min="15501" max="15501" width="10.28515625" bestFit="1" customWidth="1"/>
    <col min="15502" max="15503" width="9.28515625" bestFit="1" customWidth="1"/>
    <col min="15505" max="15505" width="10.28515625" bestFit="1" customWidth="1"/>
    <col min="15506" max="15507" width="9.28515625" bestFit="1" customWidth="1"/>
    <col min="15509" max="15509" width="10.28515625" bestFit="1" customWidth="1"/>
    <col min="15510" max="15511" width="9.28515625" bestFit="1" customWidth="1"/>
    <col min="15513" max="15513" width="10.28515625" bestFit="1" customWidth="1"/>
    <col min="15514" max="15515" width="9.28515625" bestFit="1" customWidth="1"/>
    <col min="15517" max="15517" width="10.28515625" bestFit="1" customWidth="1"/>
    <col min="15518" max="15519" width="9.28515625" bestFit="1" customWidth="1"/>
    <col min="15521" max="15521" width="10.28515625" bestFit="1" customWidth="1"/>
    <col min="15522" max="15523" width="9.28515625" bestFit="1" customWidth="1"/>
    <col min="15525" max="15525" width="10.28515625" bestFit="1" customWidth="1"/>
    <col min="15526" max="15527" width="9.28515625" bestFit="1" customWidth="1"/>
    <col min="15529" max="15529" width="10.28515625" bestFit="1" customWidth="1"/>
    <col min="15530" max="15531" width="9.28515625" bestFit="1" customWidth="1"/>
    <col min="15533" max="15533" width="10.28515625" bestFit="1" customWidth="1"/>
    <col min="15534" max="15535" width="9.28515625" bestFit="1" customWidth="1"/>
    <col min="15537" max="15537" width="10.28515625" bestFit="1" customWidth="1"/>
    <col min="15538" max="15539" width="9.28515625" bestFit="1" customWidth="1"/>
    <col min="15541" max="15541" width="10.28515625" bestFit="1" customWidth="1"/>
    <col min="15542" max="15543" width="9.28515625" bestFit="1" customWidth="1"/>
    <col min="15545" max="15545" width="10.28515625" bestFit="1" customWidth="1"/>
    <col min="15546" max="15547" width="9.28515625" bestFit="1" customWidth="1"/>
    <col min="15549" max="15549" width="10.28515625" bestFit="1" customWidth="1"/>
    <col min="15550" max="15551" width="9.28515625" bestFit="1" customWidth="1"/>
    <col min="15553" max="15553" width="10.28515625" bestFit="1" customWidth="1"/>
    <col min="15554" max="15555" width="9.28515625" bestFit="1" customWidth="1"/>
    <col min="15557" max="15557" width="10.28515625" bestFit="1" customWidth="1"/>
    <col min="15558" max="15559" width="9.28515625" bestFit="1" customWidth="1"/>
    <col min="15561" max="15561" width="10.28515625" bestFit="1" customWidth="1"/>
    <col min="15562" max="15563" width="9.28515625" bestFit="1" customWidth="1"/>
    <col min="15565" max="15565" width="10.28515625" bestFit="1" customWidth="1"/>
    <col min="15566" max="15567" width="9.28515625" bestFit="1" customWidth="1"/>
    <col min="15569" max="15569" width="10.28515625" bestFit="1" customWidth="1"/>
    <col min="15570" max="15571" width="9.28515625" bestFit="1" customWidth="1"/>
    <col min="15573" max="15573" width="10.28515625" bestFit="1" customWidth="1"/>
    <col min="15574" max="15575" width="9.28515625" bestFit="1" customWidth="1"/>
    <col min="15577" max="15577" width="10.28515625" bestFit="1" customWidth="1"/>
    <col min="15578" max="15579" width="9.28515625" bestFit="1" customWidth="1"/>
    <col min="15581" max="15581" width="10.28515625" bestFit="1" customWidth="1"/>
    <col min="15582" max="15583" width="9.28515625" bestFit="1" customWidth="1"/>
    <col min="15585" max="15585" width="10.28515625" bestFit="1" customWidth="1"/>
    <col min="15586" max="15587" width="9.28515625" bestFit="1" customWidth="1"/>
    <col min="15589" max="15589" width="10.28515625" bestFit="1" customWidth="1"/>
    <col min="15590" max="15591" width="9.28515625" bestFit="1" customWidth="1"/>
    <col min="15593" max="15593" width="10.28515625" bestFit="1" customWidth="1"/>
    <col min="15594" max="15595" width="9.28515625" bestFit="1" customWidth="1"/>
    <col min="15597" max="15597" width="10.28515625" bestFit="1" customWidth="1"/>
    <col min="15598" max="15599" width="9.28515625" bestFit="1" customWidth="1"/>
    <col min="15601" max="15601" width="10.28515625" bestFit="1" customWidth="1"/>
    <col min="15602" max="15603" width="9.28515625" bestFit="1" customWidth="1"/>
    <col min="15605" max="15605" width="10.28515625" bestFit="1" customWidth="1"/>
    <col min="15606" max="15607" width="9.28515625" bestFit="1" customWidth="1"/>
    <col min="15609" max="15609" width="10.28515625" bestFit="1" customWidth="1"/>
    <col min="15610" max="15611" width="9.28515625" bestFit="1" customWidth="1"/>
    <col min="15613" max="15613" width="10.28515625" bestFit="1" customWidth="1"/>
    <col min="15614" max="15615" width="9.28515625" bestFit="1" customWidth="1"/>
    <col min="15617" max="15617" width="10.28515625" bestFit="1" customWidth="1"/>
    <col min="15618" max="15619" width="9.28515625" bestFit="1" customWidth="1"/>
    <col min="15621" max="15621" width="10.28515625" bestFit="1" customWidth="1"/>
    <col min="15622" max="15623" width="9.28515625" bestFit="1" customWidth="1"/>
    <col min="15625" max="15625" width="10.28515625" bestFit="1" customWidth="1"/>
    <col min="15626" max="15627" width="9.28515625" bestFit="1" customWidth="1"/>
    <col min="15629" max="15629" width="10.28515625" bestFit="1" customWidth="1"/>
    <col min="15630" max="15631" width="9.28515625" bestFit="1" customWidth="1"/>
    <col min="15633" max="15633" width="10.28515625" bestFit="1" customWidth="1"/>
    <col min="15634" max="15635" width="9.28515625" bestFit="1" customWidth="1"/>
    <col min="15637" max="15637" width="10.28515625" bestFit="1" customWidth="1"/>
    <col min="15638" max="15639" width="9.28515625" bestFit="1" customWidth="1"/>
    <col min="15641" max="15641" width="10.28515625" bestFit="1" customWidth="1"/>
    <col min="15642" max="15643" width="9.28515625" bestFit="1" customWidth="1"/>
    <col min="15645" max="15645" width="10.28515625" bestFit="1" customWidth="1"/>
    <col min="15646" max="15647" width="9.28515625" bestFit="1" customWidth="1"/>
    <col min="15649" max="15649" width="10.28515625" bestFit="1" customWidth="1"/>
    <col min="15650" max="15651" width="9.28515625" bestFit="1" customWidth="1"/>
    <col min="15653" max="15653" width="10.28515625" bestFit="1" customWidth="1"/>
    <col min="15654" max="15655" width="9.28515625" bestFit="1" customWidth="1"/>
    <col min="15657" max="15657" width="10.28515625" bestFit="1" customWidth="1"/>
    <col min="15658" max="15659" width="9.28515625" bestFit="1" customWidth="1"/>
    <col min="15661" max="15661" width="10.28515625" bestFit="1" customWidth="1"/>
    <col min="15662" max="15663" width="9.28515625" bestFit="1" customWidth="1"/>
    <col min="15665" max="15665" width="10.28515625" bestFit="1" customWidth="1"/>
    <col min="15666" max="15667" width="9.28515625" bestFit="1" customWidth="1"/>
    <col min="15669" max="15669" width="10.28515625" bestFit="1" customWidth="1"/>
    <col min="15670" max="15671" width="9.28515625" bestFit="1" customWidth="1"/>
    <col min="15673" max="15673" width="10.28515625" bestFit="1" customWidth="1"/>
    <col min="15674" max="15675" width="9.28515625" bestFit="1" customWidth="1"/>
    <col min="15677" max="15677" width="10.28515625" bestFit="1" customWidth="1"/>
    <col min="15678" max="15679" width="9.28515625" bestFit="1" customWidth="1"/>
    <col min="15681" max="15681" width="10.28515625" bestFit="1" customWidth="1"/>
    <col min="15682" max="15683" width="9.28515625" bestFit="1" customWidth="1"/>
    <col min="15685" max="15685" width="10.28515625" bestFit="1" customWidth="1"/>
    <col min="15686" max="15687" width="9.28515625" bestFit="1" customWidth="1"/>
    <col min="15689" max="15689" width="10.28515625" bestFit="1" customWidth="1"/>
    <col min="15690" max="15691" width="9.28515625" bestFit="1" customWidth="1"/>
    <col min="15693" max="15693" width="10.28515625" bestFit="1" customWidth="1"/>
    <col min="15694" max="15695" width="9.28515625" bestFit="1" customWidth="1"/>
    <col min="15697" max="15697" width="10.28515625" bestFit="1" customWidth="1"/>
    <col min="15698" max="15699" width="9.28515625" bestFit="1" customWidth="1"/>
    <col min="15701" max="15701" width="10.28515625" bestFit="1" customWidth="1"/>
    <col min="15702" max="15703" width="9.28515625" bestFit="1" customWidth="1"/>
    <col min="15705" max="15705" width="10.28515625" bestFit="1" customWidth="1"/>
    <col min="15706" max="15707" width="9.28515625" bestFit="1" customWidth="1"/>
    <col min="15709" max="15709" width="10.28515625" bestFit="1" customWidth="1"/>
    <col min="15710" max="15711" width="9.28515625" bestFit="1" customWidth="1"/>
    <col min="15713" max="15713" width="10.28515625" bestFit="1" customWidth="1"/>
    <col min="15714" max="15715" width="9.28515625" bestFit="1" customWidth="1"/>
    <col min="15717" max="15717" width="10.28515625" bestFit="1" customWidth="1"/>
    <col min="15718" max="15719" width="9.28515625" bestFit="1" customWidth="1"/>
    <col min="15721" max="15721" width="10.28515625" bestFit="1" customWidth="1"/>
    <col min="15722" max="15723" width="9.28515625" bestFit="1" customWidth="1"/>
    <col min="15725" max="15725" width="10.28515625" bestFit="1" customWidth="1"/>
    <col min="15726" max="15727" width="9.28515625" bestFit="1" customWidth="1"/>
    <col min="15729" max="15729" width="10.28515625" bestFit="1" customWidth="1"/>
    <col min="15730" max="15731" width="9.28515625" bestFit="1" customWidth="1"/>
    <col min="15733" max="15733" width="10.28515625" bestFit="1" customWidth="1"/>
    <col min="15734" max="15735" width="9.28515625" bestFit="1" customWidth="1"/>
    <col min="15737" max="15737" width="10.28515625" bestFit="1" customWidth="1"/>
    <col min="15738" max="15739" width="9.28515625" bestFit="1" customWidth="1"/>
    <col min="15741" max="15741" width="10.28515625" bestFit="1" customWidth="1"/>
    <col min="15742" max="15743" width="9.28515625" bestFit="1" customWidth="1"/>
    <col min="15745" max="15745" width="10.28515625" bestFit="1" customWidth="1"/>
    <col min="15746" max="15747" width="9.28515625" bestFit="1" customWidth="1"/>
    <col min="15749" max="15749" width="10.28515625" bestFit="1" customWidth="1"/>
    <col min="15750" max="15751" width="9.28515625" bestFit="1" customWidth="1"/>
    <col min="15753" max="15753" width="10.28515625" bestFit="1" customWidth="1"/>
    <col min="15754" max="15755" width="9.28515625" bestFit="1" customWidth="1"/>
    <col min="15757" max="15757" width="10.28515625" bestFit="1" customWidth="1"/>
    <col min="15758" max="15759" width="9.28515625" bestFit="1" customWidth="1"/>
    <col min="15761" max="15761" width="10.28515625" bestFit="1" customWidth="1"/>
    <col min="15762" max="15763" width="9.28515625" bestFit="1" customWidth="1"/>
    <col min="15765" max="15765" width="10.28515625" bestFit="1" customWidth="1"/>
    <col min="15766" max="15767" width="9.28515625" bestFit="1" customWidth="1"/>
    <col min="15769" max="15769" width="10.28515625" bestFit="1" customWidth="1"/>
    <col min="15770" max="15771" width="9.28515625" bestFit="1" customWidth="1"/>
    <col min="15773" max="15773" width="10.28515625" bestFit="1" customWidth="1"/>
    <col min="15774" max="15775" width="9.28515625" bestFit="1" customWidth="1"/>
    <col min="15777" max="15777" width="10.28515625" bestFit="1" customWidth="1"/>
    <col min="15778" max="15779" width="9.28515625" bestFit="1" customWidth="1"/>
    <col min="15781" max="15781" width="10.28515625" bestFit="1" customWidth="1"/>
    <col min="15782" max="15783" width="9.28515625" bestFit="1" customWidth="1"/>
    <col min="15785" max="15785" width="10.28515625" bestFit="1" customWidth="1"/>
    <col min="15786" max="15787" width="9.28515625" bestFit="1" customWidth="1"/>
    <col min="15789" max="15789" width="10.28515625" bestFit="1" customWidth="1"/>
    <col min="15790" max="15791" width="9.28515625" bestFit="1" customWidth="1"/>
    <col min="15793" max="15793" width="10.28515625" bestFit="1" customWidth="1"/>
    <col min="15794" max="15795" width="9.28515625" bestFit="1" customWidth="1"/>
    <col min="15797" max="15797" width="10.28515625" bestFit="1" customWidth="1"/>
    <col min="15798" max="15799" width="9.28515625" bestFit="1" customWidth="1"/>
    <col min="15801" max="15801" width="10.28515625" bestFit="1" customWidth="1"/>
    <col min="15802" max="15803" width="9.28515625" bestFit="1" customWidth="1"/>
    <col min="15805" max="15805" width="10.28515625" bestFit="1" customWidth="1"/>
    <col min="15806" max="15807" width="9.28515625" bestFit="1" customWidth="1"/>
    <col min="15809" max="15809" width="10.28515625" bestFit="1" customWidth="1"/>
    <col min="15810" max="15811" width="9.28515625" bestFit="1" customWidth="1"/>
    <col min="15813" max="15813" width="10.28515625" bestFit="1" customWidth="1"/>
    <col min="15814" max="15815" width="9.28515625" bestFit="1" customWidth="1"/>
    <col min="15817" max="15817" width="10.28515625" bestFit="1" customWidth="1"/>
    <col min="15818" max="15819" width="9.28515625" bestFit="1" customWidth="1"/>
    <col min="15821" max="15821" width="10.28515625" bestFit="1" customWidth="1"/>
    <col min="15822" max="15823" width="9.28515625" bestFit="1" customWidth="1"/>
    <col min="15825" max="15825" width="10.28515625" bestFit="1" customWidth="1"/>
    <col min="15826" max="15827" width="9.28515625" bestFit="1" customWidth="1"/>
    <col min="15829" max="15829" width="10.28515625" bestFit="1" customWidth="1"/>
    <col min="15830" max="15831" width="9.28515625" bestFit="1" customWidth="1"/>
    <col min="15833" max="15833" width="10.28515625" bestFit="1" customWidth="1"/>
    <col min="15834" max="15835" width="9.28515625" bestFit="1" customWidth="1"/>
    <col min="15837" max="15837" width="10.28515625" bestFit="1" customWidth="1"/>
    <col min="15838" max="15839" width="9.28515625" bestFit="1" customWidth="1"/>
    <col min="15841" max="15841" width="10.28515625" bestFit="1" customWidth="1"/>
    <col min="15842" max="15843" width="9.28515625" bestFit="1" customWidth="1"/>
    <col min="15845" max="15845" width="10.28515625" bestFit="1" customWidth="1"/>
    <col min="15846" max="15847" width="9.28515625" bestFit="1" customWidth="1"/>
    <col min="15849" max="15849" width="10.28515625" bestFit="1" customWidth="1"/>
    <col min="15850" max="15851" width="9.28515625" bestFit="1" customWidth="1"/>
    <col min="15853" max="15853" width="10.28515625" bestFit="1" customWidth="1"/>
    <col min="15854" max="15855" width="9.28515625" bestFit="1" customWidth="1"/>
    <col min="15857" max="15857" width="10.28515625" bestFit="1" customWidth="1"/>
    <col min="15858" max="15859" width="9.28515625" bestFit="1" customWidth="1"/>
    <col min="15861" max="15861" width="10.28515625" bestFit="1" customWidth="1"/>
    <col min="15862" max="15863" width="9.28515625" bestFit="1" customWidth="1"/>
    <col min="15865" max="15865" width="10.28515625" bestFit="1" customWidth="1"/>
    <col min="15866" max="15867" width="9.28515625" bestFit="1" customWidth="1"/>
    <col min="15869" max="15869" width="10.28515625" bestFit="1" customWidth="1"/>
    <col min="15870" max="15871" width="9.28515625" bestFit="1" customWidth="1"/>
    <col min="15873" max="15873" width="10.28515625" bestFit="1" customWidth="1"/>
    <col min="15874" max="15875" width="9.28515625" bestFit="1" customWidth="1"/>
    <col min="15877" max="15877" width="10.28515625" bestFit="1" customWidth="1"/>
    <col min="15878" max="15879" width="9.28515625" bestFit="1" customWidth="1"/>
    <col min="15881" max="15881" width="10.28515625" bestFit="1" customWidth="1"/>
    <col min="15882" max="15883" width="9.28515625" bestFit="1" customWidth="1"/>
    <col min="15885" max="15885" width="10.28515625" bestFit="1" customWidth="1"/>
    <col min="15886" max="15887" width="9.28515625" bestFit="1" customWidth="1"/>
    <col min="15889" max="15889" width="10.28515625" bestFit="1" customWidth="1"/>
    <col min="15890" max="15891" width="9.28515625" bestFit="1" customWidth="1"/>
    <col min="15893" max="15893" width="10.28515625" bestFit="1" customWidth="1"/>
    <col min="15894" max="15895" width="9.28515625" bestFit="1" customWidth="1"/>
    <col min="15897" max="15897" width="10.28515625" bestFit="1" customWidth="1"/>
    <col min="15898" max="15899" width="9.28515625" bestFit="1" customWidth="1"/>
    <col min="15901" max="15901" width="10.28515625" bestFit="1" customWidth="1"/>
    <col min="15902" max="15903" width="9.28515625" bestFit="1" customWidth="1"/>
    <col min="15905" max="15905" width="10.28515625" bestFit="1" customWidth="1"/>
    <col min="15906" max="15907" width="9.28515625" bestFit="1" customWidth="1"/>
    <col min="15909" max="15909" width="10.28515625" bestFit="1" customWidth="1"/>
    <col min="15910" max="15911" width="9.28515625" bestFit="1" customWidth="1"/>
    <col min="15913" max="15913" width="10.28515625" bestFit="1" customWidth="1"/>
    <col min="15914" max="15915" width="9.28515625" bestFit="1" customWidth="1"/>
    <col min="15917" max="15917" width="10.28515625" bestFit="1" customWidth="1"/>
    <col min="15918" max="15919" width="9.28515625" bestFit="1" customWidth="1"/>
    <col min="15921" max="15921" width="10.28515625" bestFit="1" customWidth="1"/>
    <col min="15922" max="15923" width="9.28515625" bestFit="1" customWidth="1"/>
    <col min="15925" max="15925" width="10.28515625" bestFit="1" customWidth="1"/>
    <col min="15926" max="15927" width="9.28515625" bestFit="1" customWidth="1"/>
    <col min="15929" max="15929" width="10.28515625" bestFit="1" customWidth="1"/>
    <col min="15930" max="15931" width="9.28515625" bestFit="1" customWidth="1"/>
    <col min="15933" max="15933" width="10.28515625" bestFit="1" customWidth="1"/>
    <col min="15934" max="15935" width="9.28515625" bestFit="1" customWidth="1"/>
    <col min="15937" max="15937" width="10.28515625" bestFit="1" customWidth="1"/>
    <col min="15938" max="15939" width="9.28515625" bestFit="1" customWidth="1"/>
    <col min="15941" max="15941" width="10.28515625" bestFit="1" customWidth="1"/>
    <col min="15942" max="15943" width="9.28515625" bestFit="1" customWidth="1"/>
    <col min="15945" max="15945" width="10.28515625" bestFit="1" customWidth="1"/>
    <col min="15946" max="15947" width="9.28515625" bestFit="1" customWidth="1"/>
    <col min="15949" max="15949" width="10.28515625" bestFit="1" customWidth="1"/>
    <col min="15950" max="15951" width="9.28515625" bestFit="1" customWidth="1"/>
    <col min="15953" max="15953" width="10.28515625" bestFit="1" customWidth="1"/>
    <col min="15954" max="15955" width="9.28515625" bestFit="1" customWidth="1"/>
    <col min="15957" max="15957" width="10.28515625" bestFit="1" customWidth="1"/>
    <col min="15958" max="15959" width="9.28515625" bestFit="1" customWidth="1"/>
    <col min="15961" max="15961" width="10.28515625" bestFit="1" customWidth="1"/>
    <col min="15962" max="15963" width="9.28515625" bestFit="1" customWidth="1"/>
    <col min="15965" max="15965" width="10.28515625" bestFit="1" customWidth="1"/>
    <col min="15966" max="15967" width="9.28515625" bestFit="1" customWidth="1"/>
    <col min="15969" max="15969" width="10.28515625" bestFit="1" customWidth="1"/>
    <col min="15970" max="15971" width="9.28515625" bestFit="1" customWidth="1"/>
    <col min="15973" max="15973" width="10.28515625" bestFit="1" customWidth="1"/>
    <col min="15974" max="15975" width="9.28515625" bestFit="1" customWidth="1"/>
    <col min="15977" max="15977" width="10.28515625" bestFit="1" customWidth="1"/>
    <col min="15978" max="15979" width="9.28515625" bestFit="1" customWidth="1"/>
    <col min="15981" max="15981" width="10.28515625" bestFit="1" customWidth="1"/>
    <col min="15982" max="15983" width="9.28515625" bestFit="1" customWidth="1"/>
    <col min="15985" max="15985" width="10.28515625" bestFit="1" customWidth="1"/>
    <col min="15986" max="15987" width="9.28515625" bestFit="1" customWidth="1"/>
    <col min="15989" max="15989" width="10.28515625" bestFit="1" customWidth="1"/>
    <col min="15990" max="15991" width="9.28515625" bestFit="1" customWidth="1"/>
    <col min="15993" max="15993" width="10.28515625" bestFit="1" customWidth="1"/>
    <col min="15994" max="15995" width="9.28515625" bestFit="1" customWidth="1"/>
    <col min="15997" max="15997" width="10.28515625" bestFit="1" customWidth="1"/>
    <col min="15998" max="15999" width="9.28515625" bestFit="1" customWidth="1"/>
    <col min="16001" max="16001" width="10.28515625" bestFit="1" customWidth="1"/>
    <col min="16002" max="16003" width="9.28515625" bestFit="1" customWidth="1"/>
    <col min="16005" max="16005" width="10.28515625" bestFit="1" customWidth="1"/>
    <col min="16006" max="16007" width="9.28515625" bestFit="1" customWidth="1"/>
    <col min="16009" max="16009" width="10.28515625" bestFit="1" customWidth="1"/>
    <col min="16010" max="16011" width="9.28515625" bestFit="1" customWidth="1"/>
    <col min="16013" max="16013" width="10.28515625" bestFit="1" customWidth="1"/>
    <col min="16014" max="16015" width="9.28515625" bestFit="1" customWidth="1"/>
    <col min="16017" max="16017" width="10.28515625" bestFit="1" customWidth="1"/>
    <col min="16018" max="16019" width="9.28515625" bestFit="1" customWidth="1"/>
    <col min="16021" max="16021" width="10.28515625" bestFit="1" customWidth="1"/>
    <col min="16022" max="16023" width="9.28515625" bestFit="1" customWidth="1"/>
    <col min="16025" max="16025" width="10.28515625" bestFit="1" customWidth="1"/>
    <col min="16026" max="16027" width="9.28515625" bestFit="1" customWidth="1"/>
    <col min="16029" max="16029" width="10.28515625" bestFit="1" customWidth="1"/>
    <col min="16030" max="16031" width="9.28515625" bestFit="1" customWidth="1"/>
    <col min="16033" max="16033" width="10.28515625" bestFit="1" customWidth="1"/>
    <col min="16034" max="16035" width="9.28515625" bestFit="1" customWidth="1"/>
    <col min="16037" max="16037" width="10.28515625" bestFit="1" customWidth="1"/>
    <col min="16038" max="16039" width="9.28515625" bestFit="1" customWidth="1"/>
    <col min="16041" max="16041" width="10.28515625" bestFit="1" customWidth="1"/>
    <col min="16042" max="16043" width="9.28515625" bestFit="1" customWidth="1"/>
    <col min="16045" max="16045" width="10.28515625" bestFit="1" customWidth="1"/>
    <col min="16046" max="16047" width="9.28515625" bestFit="1" customWidth="1"/>
    <col min="16049" max="16049" width="10.28515625" bestFit="1" customWidth="1"/>
    <col min="16050" max="16051" width="9.28515625" bestFit="1" customWidth="1"/>
    <col min="16053" max="16053" width="10.28515625" bestFit="1" customWidth="1"/>
    <col min="16054" max="16055" width="9.28515625" bestFit="1" customWidth="1"/>
    <col min="16057" max="16057" width="10.28515625" bestFit="1" customWidth="1"/>
    <col min="16058" max="16059" width="9.28515625" bestFit="1" customWidth="1"/>
    <col min="16061" max="16061" width="10.28515625" bestFit="1" customWidth="1"/>
    <col min="16062" max="16063" width="9.28515625" bestFit="1" customWidth="1"/>
    <col min="16065" max="16065" width="10.28515625" bestFit="1" customWidth="1"/>
    <col min="16066" max="16067" width="9.28515625" bestFit="1" customWidth="1"/>
    <col min="16069" max="16069" width="10.28515625" bestFit="1" customWidth="1"/>
    <col min="16070" max="16071" width="9.28515625" bestFit="1" customWidth="1"/>
    <col min="16073" max="16073" width="10.28515625" bestFit="1" customWidth="1"/>
    <col min="16074" max="16075" width="9.28515625" bestFit="1" customWidth="1"/>
    <col min="16077" max="16077" width="10.28515625" bestFit="1" customWidth="1"/>
    <col min="16078" max="16079" width="9.28515625" bestFit="1" customWidth="1"/>
    <col min="16081" max="16081" width="10.28515625" bestFit="1" customWidth="1"/>
    <col min="16082" max="16083" width="9.28515625" bestFit="1" customWidth="1"/>
    <col min="16085" max="16085" width="10.28515625" bestFit="1" customWidth="1"/>
    <col min="16086" max="16087" width="9.28515625" bestFit="1" customWidth="1"/>
    <col min="16089" max="16089" width="10.28515625" bestFit="1" customWidth="1"/>
    <col min="16090" max="16091" width="9.28515625" bestFit="1" customWidth="1"/>
    <col min="16093" max="16093" width="10.28515625" bestFit="1" customWidth="1"/>
    <col min="16094" max="16095" width="9.28515625" bestFit="1" customWidth="1"/>
    <col min="16097" max="16097" width="10.28515625" bestFit="1" customWidth="1"/>
    <col min="16098" max="16099" width="9.28515625" bestFit="1" customWidth="1"/>
    <col min="16101" max="16101" width="10.28515625" bestFit="1" customWidth="1"/>
    <col min="16102" max="16103" width="9.28515625" bestFit="1" customWidth="1"/>
    <col min="16105" max="16105" width="10.28515625" bestFit="1" customWidth="1"/>
    <col min="16106" max="16107" width="9.28515625" bestFit="1" customWidth="1"/>
    <col min="16109" max="16109" width="10.28515625" bestFit="1" customWidth="1"/>
    <col min="16110" max="16111" width="9.28515625" bestFit="1" customWidth="1"/>
    <col min="16113" max="16113" width="10.28515625" bestFit="1" customWidth="1"/>
    <col min="16114" max="16115" width="9.28515625" bestFit="1" customWidth="1"/>
    <col min="16117" max="16117" width="10.28515625" bestFit="1" customWidth="1"/>
    <col min="16118" max="16119" width="9.28515625" bestFit="1" customWidth="1"/>
    <col min="16121" max="16121" width="10.28515625" bestFit="1" customWidth="1"/>
    <col min="16122" max="16123" width="9.28515625" bestFit="1" customWidth="1"/>
    <col min="16125" max="16125" width="10.28515625" bestFit="1" customWidth="1"/>
    <col min="16126" max="16127" width="9.28515625" bestFit="1" customWidth="1"/>
    <col min="16129" max="16129" width="10.28515625" bestFit="1" customWidth="1"/>
    <col min="16130" max="16131" width="9.28515625" bestFit="1" customWidth="1"/>
    <col min="16133" max="16133" width="10.28515625" bestFit="1" customWidth="1"/>
    <col min="16134" max="16135" width="9.28515625" bestFit="1" customWidth="1"/>
    <col min="16137" max="16137" width="10.28515625" bestFit="1" customWidth="1"/>
    <col min="16138" max="16139" width="9.28515625" bestFit="1" customWidth="1"/>
    <col min="16141" max="16141" width="10.28515625" bestFit="1" customWidth="1"/>
    <col min="16142" max="16143" width="9.28515625" bestFit="1" customWidth="1"/>
    <col min="16145" max="16145" width="10.28515625" bestFit="1" customWidth="1"/>
    <col min="16146" max="16147" width="9.28515625" bestFit="1" customWidth="1"/>
    <col min="16149" max="16149" width="10.28515625" bestFit="1" customWidth="1"/>
    <col min="16150" max="16151" width="9.28515625" bestFit="1" customWidth="1"/>
    <col min="16153" max="16153" width="10.28515625" bestFit="1" customWidth="1"/>
    <col min="16154" max="16155" width="9.28515625" bestFit="1" customWidth="1"/>
    <col min="16157" max="16157" width="10.28515625" bestFit="1" customWidth="1"/>
    <col min="16158" max="16159" width="9.28515625" bestFit="1" customWidth="1"/>
    <col min="16161" max="16161" width="10.28515625" bestFit="1" customWidth="1"/>
    <col min="16162" max="16163" width="9.28515625" bestFit="1" customWidth="1"/>
    <col min="16165" max="16165" width="10.28515625" bestFit="1" customWidth="1"/>
    <col min="16166" max="16167" width="9.28515625" bestFit="1" customWidth="1"/>
    <col min="16169" max="16169" width="10.28515625" bestFit="1" customWidth="1"/>
    <col min="16170" max="16171" width="9.28515625" bestFit="1" customWidth="1"/>
    <col min="16173" max="16173" width="10.28515625" bestFit="1" customWidth="1"/>
    <col min="16174" max="16175" width="9.28515625" bestFit="1" customWidth="1"/>
    <col min="16177" max="16177" width="10.28515625" bestFit="1" customWidth="1"/>
    <col min="16178" max="16179" width="9.28515625" bestFit="1" customWidth="1"/>
    <col min="16181" max="16181" width="10.28515625" bestFit="1" customWidth="1"/>
    <col min="16182" max="16183" width="9.28515625" bestFit="1" customWidth="1"/>
    <col min="16185" max="16185" width="10.28515625" bestFit="1" customWidth="1"/>
    <col min="16186" max="16187" width="9.28515625" bestFit="1" customWidth="1"/>
    <col min="16189" max="16189" width="10.28515625" bestFit="1" customWidth="1"/>
    <col min="16190" max="16191" width="9.28515625" bestFit="1" customWidth="1"/>
    <col min="16193" max="16193" width="10.28515625" bestFit="1" customWidth="1"/>
    <col min="16194" max="16195" width="9.28515625" bestFit="1" customWidth="1"/>
    <col min="16197" max="16197" width="10.28515625" bestFit="1" customWidth="1"/>
    <col min="16198" max="16199" width="9.28515625" bestFit="1" customWidth="1"/>
    <col min="16201" max="16201" width="10.28515625" bestFit="1" customWidth="1"/>
    <col min="16202" max="16203" width="9.28515625" bestFit="1" customWidth="1"/>
    <col min="16205" max="16205" width="10.28515625" bestFit="1" customWidth="1"/>
    <col min="16206" max="16207" width="9.28515625" bestFit="1" customWidth="1"/>
    <col min="16209" max="16209" width="10.28515625" bestFit="1" customWidth="1"/>
    <col min="16210" max="16211" width="9.28515625" bestFit="1" customWidth="1"/>
    <col min="16213" max="16213" width="10.28515625" bestFit="1" customWidth="1"/>
    <col min="16214" max="16215" width="9.28515625" bestFit="1" customWidth="1"/>
    <col min="16217" max="16217" width="10.28515625" bestFit="1" customWidth="1"/>
    <col min="16218" max="16219" width="9.28515625" bestFit="1" customWidth="1"/>
    <col min="16221" max="16221" width="10.28515625" bestFit="1" customWidth="1"/>
    <col min="16222" max="16223" width="9.28515625" bestFit="1" customWidth="1"/>
    <col min="16225" max="16225" width="10.28515625" bestFit="1" customWidth="1"/>
    <col min="16226" max="16227" width="9.28515625" bestFit="1" customWidth="1"/>
    <col min="16229" max="16229" width="10.28515625" bestFit="1" customWidth="1"/>
    <col min="16230" max="16231" width="9.28515625" bestFit="1" customWidth="1"/>
    <col min="16233" max="16233" width="10.28515625" bestFit="1" customWidth="1"/>
    <col min="16234" max="16235" width="9.28515625" bestFit="1" customWidth="1"/>
    <col min="16237" max="16237" width="10.28515625" bestFit="1" customWidth="1"/>
    <col min="16238" max="16239" width="9.28515625" bestFit="1" customWidth="1"/>
    <col min="16241" max="16241" width="10.28515625" bestFit="1" customWidth="1"/>
    <col min="16242" max="16243" width="9.28515625" bestFit="1" customWidth="1"/>
    <col min="16245" max="16245" width="10.28515625" bestFit="1" customWidth="1"/>
    <col min="16246" max="16247" width="9.28515625" bestFit="1" customWidth="1"/>
    <col min="16249" max="16249" width="10.28515625" bestFit="1" customWidth="1"/>
    <col min="16250" max="16251" width="9.28515625" bestFit="1" customWidth="1"/>
    <col min="16253" max="16253" width="10.28515625" bestFit="1" customWidth="1"/>
    <col min="16254" max="16255" width="9.28515625" bestFit="1" customWidth="1"/>
    <col min="16257" max="16257" width="10.28515625" bestFit="1" customWidth="1"/>
    <col min="16258" max="16259" width="9.28515625" bestFit="1" customWidth="1"/>
    <col min="16261" max="16261" width="10.28515625" bestFit="1" customWidth="1"/>
    <col min="16262" max="16263" width="9.28515625" bestFit="1" customWidth="1"/>
    <col min="16265" max="16265" width="10.28515625" bestFit="1" customWidth="1"/>
    <col min="16266" max="16267" width="9.28515625" bestFit="1" customWidth="1"/>
    <col min="16269" max="16269" width="10.28515625" bestFit="1" customWidth="1"/>
    <col min="16270" max="16271" width="9.28515625" bestFit="1" customWidth="1"/>
    <col min="16273" max="16273" width="10.28515625" bestFit="1" customWidth="1"/>
    <col min="16274" max="16275" width="9.28515625" bestFit="1" customWidth="1"/>
    <col min="16277" max="16277" width="10.28515625" bestFit="1" customWidth="1"/>
    <col min="16278" max="16279" width="9.28515625" bestFit="1" customWidth="1"/>
    <col min="16281" max="16281" width="10.28515625" bestFit="1" customWidth="1"/>
    <col min="16282" max="16283" width="9.28515625" bestFit="1" customWidth="1"/>
    <col min="16285" max="16285" width="10.28515625" bestFit="1" customWidth="1"/>
    <col min="16286" max="16287" width="9.28515625" bestFit="1" customWidth="1"/>
    <col min="16289" max="16289" width="10.28515625" bestFit="1" customWidth="1"/>
    <col min="16290" max="16291" width="9.28515625" bestFit="1" customWidth="1"/>
    <col min="16293" max="16293" width="10.28515625" bestFit="1" customWidth="1"/>
    <col min="16294" max="16295" width="9.28515625" bestFit="1" customWidth="1"/>
    <col min="16297" max="16297" width="10.28515625" bestFit="1" customWidth="1"/>
    <col min="16298" max="16299" width="9.28515625" bestFit="1" customWidth="1"/>
    <col min="16301" max="16301" width="10.28515625" bestFit="1" customWidth="1"/>
    <col min="16302" max="16303" width="9.28515625" bestFit="1" customWidth="1"/>
    <col min="16305" max="16305" width="10.28515625" bestFit="1" customWidth="1"/>
    <col min="16306" max="16307" width="9.28515625" bestFit="1" customWidth="1"/>
    <col min="16309" max="16309" width="10.28515625" bestFit="1" customWidth="1"/>
    <col min="16310" max="16311" width="9.28515625" bestFit="1" customWidth="1"/>
    <col min="16313" max="16313" width="10.28515625" bestFit="1" customWidth="1"/>
    <col min="16314" max="16315" width="9.28515625" bestFit="1" customWidth="1"/>
    <col min="16317" max="16317" width="10.28515625" bestFit="1" customWidth="1"/>
    <col min="16318" max="16319" width="9.28515625" bestFit="1" customWidth="1"/>
    <col min="16321" max="16321" width="10.28515625" bestFit="1" customWidth="1"/>
    <col min="16322" max="16323" width="9.28515625" bestFit="1" customWidth="1"/>
    <col min="16325" max="16325" width="10.28515625" bestFit="1" customWidth="1"/>
    <col min="16326" max="16327" width="9.28515625" bestFit="1" customWidth="1"/>
    <col min="16329" max="16329" width="10.28515625" bestFit="1" customWidth="1"/>
    <col min="16330" max="16331" width="9.28515625" bestFit="1" customWidth="1"/>
    <col min="16333" max="16333" width="10.28515625" bestFit="1" customWidth="1"/>
    <col min="16334" max="16335" width="9.28515625" bestFit="1" customWidth="1"/>
    <col min="16337" max="16337" width="10.28515625" bestFit="1" customWidth="1"/>
    <col min="16338" max="16339" width="9.28515625" bestFit="1" customWidth="1"/>
    <col min="16341" max="16341" width="10.28515625" bestFit="1" customWidth="1"/>
    <col min="16342" max="16343" width="9.28515625" bestFit="1" customWidth="1"/>
    <col min="16345" max="16345" width="10.28515625" bestFit="1" customWidth="1"/>
    <col min="16346" max="16347" width="9.28515625" bestFit="1" customWidth="1"/>
    <col min="16349" max="16349" width="10.28515625" bestFit="1" customWidth="1"/>
    <col min="16350" max="16351" width="9.28515625" bestFit="1" customWidth="1"/>
    <col min="16353" max="16353" width="10.28515625" bestFit="1" customWidth="1"/>
    <col min="16354" max="16355" width="9.28515625" bestFit="1" customWidth="1"/>
    <col min="16357" max="16357" width="10.28515625" bestFit="1" customWidth="1"/>
    <col min="16358" max="16359" width="9.28515625" bestFit="1" customWidth="1"/>
    <col min="16361" max="16361" width="10.28515625" bestFit="1" customWidth="1"/>
    <col min="16362" max="16363" width="9.28515625" bestFit="1" customWidth="1"/>
    <col min="16365" max="16365" width="10.28515625" bestFit="1" customWidth="1"/>
    <col min="16366" max="16367" width="9.28515625" bestFit="1" customWidth="1"/>
    <col min="16369" max="16369" width="10.28515625" bestFit="1" customWidth="1"/>
    <col min="16370" max="16371" width="9.28515625" bestFit="1" customWidth="1"/>
  </cols>
  <sheetData>
    <row r="1" spans="1:13" x14ac:dyDescent="0.25">
      <c r="M1" s="413" t="s">
        <v>37</v>
      </c>
    </row>
    <row r="2" spans="1:13" ht="18.75" x14ac:dyDescent="0.25">
      <c r="A2" s="725" t="s">
        <v>1598</v>
      </c>
      <c r="B2" s="725"/>
      <c r="C2" s="725"/>
      <c r="D2" s="725"/>
      <c r="E2" s="725"/>
      <c r="F2" s="725"/>
      <c r="G2" s="725"/>
      <c r="H2" s="725"/>
      <c r="I2" s="725"/>
      <c r="J2" s="725"/>
      <c r="K2" s="725"/>
      <c r="L2" s="725"/>
      <c r="M2" s="725"/>
    </row>
    <row r="3" spans="1:13" ht="18.75" x14ac:dyDescent="0.25">
      <c r="A3" s="172"/>
      <c r="B3" s="173"/>
      <c r="C3" s="333"/>
      <c r="D3" s="173"/>
      <c r="E3" s="173"/>
      <c r="F3" s="333"/>
      <c r="G3" s="333"/>
      <c r="H3" s="333"/>
      <c r="I3" s="333"/>
      <c r="J3" s="333"/>
      <c r="K3" s="333"/>
      <c r="L3" s="333"/>
      <c r="M3" s="333"/>
    </row>
    <row r="4" spans="1:13" ht="30.75" customHeight="1" x14ac:dyDescent="0.25">
      <c r="A4" s="726" t="s">
        <v>0</v>
      </c>
      <c r="B4" s="726" t="s">
        <v>1</v>
      </c>
      <c r="C4" s="726" t="s">
        <v>668</v>
      </c>
      <c r="D4" s="726"/>
      <c r="E4" s="726"/>
      <c r="F4" s="727" t="s">
        <v>36</v>
      </c>
      <c r="G4" s="728" t="s">
        <v>185</v>
      </c>
      <c r="H4" s="729"/>
      <c r="I4" s="729"/>
      <c r="J4" s="729"/>
      <c r="K4" s="730"/>
      <c r="L4" s="726" t="s">
        <v>2</v>
      </c>
      <c r="M4" s="731" t="s">
        <v>33</v>
      </c>
    </row>
    <row r="5" spans="1:13" ht="65.25" customHeight="1" x14ac:dyDescent="0.25">
      <c r="A5" s="726"/>
      <c r="B5" s="726"/>
      <c r="C5" s="334" t="s">
        <v>32</v>
      </c>
      <c r="D5" s="174" t="s">
        <v>1599</v>
      </c>
      <c r="E5" s="174" t="s">
        <v>35</v>
      </c>
      <c r="F5" s="727"/>
      <c r="G5" s="334" t="s">
        <v>3</v>
      </c>
      <c r="H5" s="334" t="s">
        <v>39</v>
      </c>
      <c r="I5" s="334" t="s">
        <v>52</v>
      </c>
      <c r="J5" s="334" t="s">
        <v>40</v>
      </c>
      <c r="K5" s="334" t="s">
        <v>186</v>
      </c>
      <c r="L5" s="726"/>
      <c r="M5" s="732"/>
    </row>
    <row r="6" spans="1:13" ht="19.5" customHeight="1" x14ac:dyDescent="0.25">
      <c r="A6" s="739"/>
      <c r="B6" s="716" t="s">
        <v>187</v>
      </c>
      <c r="C6" s="175" t="s">
        <v>3</v>
      </c>
      <c r="D6" s="176">
        <f>SUM(D7:D10)</f>
        <v>180780499.74418107</v>
      </c>
      <c r="E6" s="176">
        <f>SUM(E7:E10)</f>
        <v>171933904.21792471</v>
      </c>
      <c r="F6" s="177">
        <f t="shared" ref="F6:F24" si="0">E6/D6</f>
        <v>0.95106443704506294</v>
      </c>
      <c r="G6" s="742">
        <f>SUM(H6:J10)</f>
        <v>1040</v>
      </c>
      <c r="H6" s="745">
        <f>H11+H38+H56+H71+H89+H108+H121+H146+H151+H174+H196+H209+H227+H230+H239</f>
        <v>863</v>
      </c>
      <c r="I6" s="745">
        <f>I11+I38+I56+I71+I89+I108+I121+I146+I151+I174+I196+I209+I227+I230+I239</f>
        <v>133</v>
      </c>
      <c r="J6" s="745">
        <f>J11+J38+J56+J71+J89+J108+J121+J146+J151+J174+J196+J209+J227+J230+J239</f>
        <v>44</v>
      </c>
      <c r="K6" s="733">
        <f>(H6+0.5*I6)/G6</f>
        <v>0.89375000000000004</v>
      </c>
      <c r="L6" s="736"/>
      <c r="M6" s="736"/>
    </row>
    <row r="7" spans="1:13" ht="19.5" customHeight="1" x14ac:dyDescent="0.25">
      <c r="A7" s="740"/>
      <c r="B7" s="717"/>
      <c r="C7" s="178" t="s">
        <v>4</v>
      </c>
      <c r="D7" s="179">
        <f>D12+D39+D57+D72+D90+D109+D122+D146+D152+D175+D197+D210+D227+D231+D240</f>
        <v>128899584.00028002</v>
      </c>
      <c r="E7" s="179">
        <f>E12+E39+E57+E72+E90+E109+E122+E146+E152+E175+E197+E210+E227+E231+E240</f>
        <v>121849635.62951119</v>
      </c>
      <c r="F7" s="180">
        <f t="shared" si="0"/>
        <v>0.9453066631250453</v>
      </c>
      <c r="G7" s="743"/>
      <c r="H7" s="743"/>
      <c r="I7" s="743"/>
      <c r="J7" s="743"/>
      <c r="K7" s="734" t="e">
        <f t="shared" ref="K7:K13" si="1">(K4+0.5*K5)/K3</f>
        <v>#VALUE!</v>
      </c>
      <c r="L7" s="737"/>
      <c r="M7" s="737"/>
    </row>
    <row r="8" spans="1:13" ht="19.5" customHeight="1" x14ac:dyDescent="0.25">
      <c r="A8" s="740"/>
      <c r="B8" s="717"/>
      <c r="C8" s="178" t="s">
        <v>5</v>
      </c>
      <c r="D8" s="179">
        <f>D13+D40+D58+D73+D91+D110+D123+D153+D176+D198+D211+D232+D241</f>
        <v>25111338.563499995</v>
      </c>
      <c r="E8" s="179">
        <f>E13+E40+E58+E73+E91+E110+E123+E153+E176+E198+E211+E232+E241</f>
        <v>23337869.965552997</v>
      </c>
      <c r="F8" s="180">
        <f t="shared" si="0"/>
        <v>0.92937578403228649</v>
      </c>
      <c r="G8" s="743"/>
      <c r="H8" s="743"/>
      <c r="I8" s="743"/>
      <c r="J8" s="743"/>
      <c r="K8" s="734" t="e">
        <f t="shared" si="1"/>
        <v>#VALUE!</v>
      </c>
      <c r="L8" s="737"/>
      <c r="M8" s="737"/>
    </row>
    <row r="9" spans="1:13" ht="19.5" customHeight="1" x14ac:dyDescent="0.25">
      <c r="A9" s="740"/>
      <c r="B9" s="717"/>
      <c r="C9" s="178" t="s">
        <v>6</v>
      </c>
      <c r="D9" s="179">
        <f>D41+D74+D92+D124+D154+D177+D199+D242</f>
        <v>1765333.2704010524</v>
      </c>
      <c r="E9" s="179">
        <f>E41+E74+E92+E124+E154+E177+E199+E242</f>
        <v>1580115.0528605399</v>
      </c>
      <c r="F9" s="180">
        <f t="shared" si="0"/>
        <v>0.89508031109704611</v>
      </c>
      <c r="G9" s="743"/>
      <c r="H9" s="743"/>
      <c r="I9" s="743"/>
      <c r="J9" s="743"/>
      <c r="K9" s="734" t="e">
        <f t="shared" si="1"/>
        <v>#VALUE!</v>
      </c>
      <c r="L9" s="737"/>
      <c r="M9" s="737"/>
    </row>
    <row r="10" spans="1:13" ht="19.5" customHeight="1" x14ac:dyDescent="0.25">
      <c r="A10" s="741"/>
      <c r="B10" s="718"/>
      <c r="C10" s="178" t="s">
        <v>7</v>
      </c>
      <c r="D10" s="179">
        <f>D14+D59+D75+D111+D125+D155+D178+D212</f>
        <v>25004243.91</v>
      </c>
      <c r="E10" s="179">
        <f>E14+E59+E75+E111+E125+E155+E178+E212</f>
        <v>25166283.570000004</v>
      </c>
      <c r="F10" s="180">
        <f t="shared" si="0"/>
        <v>1.0064804862959762</v>
      </c>
      <c r="G10" s="744"/>
      <c r="H10" s="744"/>
      <c r="I10" s="744"/>
      <c r="J10" s="744"/>
      <c r="K10" s="735" t="e">
        <f t="shared" si="1"/>
        <v>#VALUE!</v>
      </c>
      <c r="L10" s="738"/>
      <c r="M10" s="738"/>
    </row>
    <row r="11" spans="1:13" ht="21" customHeight="1" x14ac:dyDescent="0.25">
      <c r="A11" s="715" t="s">
        <v>8</v>
      </c>
      <c r="B11" s="716" t="s">
        <v>934</v>
      </c>
      <c r="C11" s="175" t="s">
        <v>3</v>
      </c>
      <c r="D11" s="176">
        <f>SUM(D12:D14)</f>
        <v>45597045.311629996</v>
      </c>
      <c r="E11" s="176">
        <f>E12+E13+E14</f>
        <v>45617580.746030182</v>
      </c>
      <c r="F11" s="464">
        <f t="shared" si="0"/>
        <v>1.0004503676556198</v>
      </c>
      <c r="G11" s="719">
        <f>SUM(G15:G37)</f>
        <v>125</v>
      </c>
      <c r="H11" s="719">
        <f>SUM(H15:H37)</f>
        <v>103</v>
      </c>
      <c r="I11" s="719">
        <f>SUM(I15:I37)</f>
        <v>19</v>
      </c>
      <c r="J11" s="719">
        <f>SUM(J15:J37)</f>
        <v>3</v>
      </c>
      <c r="K11" s="722">
        <f>(H11+0.5*I11)/G11</f>
        <v>0.9</v>
      </c>
      <c r="L11" s="696" t="s">
        <v>1355</v>
      </c>
      <c r="M11" s="697"/>
    </row>
    <row r="12" spans="1:13" ht="21" customHeight="1" x14ac:dyDescent="0.25">
      <c r="A12" s="715"/>
      <c r="B12" s="717"/>
      <c r="C12" s="178" t="s">
        <v>4</v>
      </c>
      <c r="D12" s="179">
        <f>D16+D20+D24+D27+D30+D33+D36</f>
        <v>19195495.462899998</v>
      </c>
      <c r="E12" s="179">
        <f>E16+E20+E24+E27+E30+E33+E36</f>
        <v>18706681.961797182</v>
      </c>
      <c r="F12" s="465">
        <f t="shared" si="0"/>
        <v>0.97453498910473202</v>
      </c>
      <c r="G12" s="720"/>
      <c r="H12" s="720"/>
      <c r="I12" s="720"/>
      <c r="J12" s="720"/>
      <c r="K12" s="723" t="e">
        <f t="shared" si="1"/>
        <v>#VALUE!</v>
      </c>
      <c r="L12" s="696"/>
      <c r="M12" s="698"/>
    </row>
    <row r="13" spans="1:13" ht="21" customHeight="1" x14ac:dyDescent="0.25">
      <c r="A13" s="715"/>
      <c r="B13" s="717"/>
      <c r="C13" s="178" t="s">
        <v>5</v>
      </c>
      <c r="D13" s="179">
        <f>D17+D21+D25+D28+D31+D34+D37</f>
        <v>2647555.4487299998</v>
      </c>
      <c r="E13" s="179">
        <f>E17+E21+E25+E28+E31+E34+E37</f>
        <v>2387700.5842330004</v>
      </c>
      <c r="F13" s="465">
        <f t="shared" si="0"/>
        <v>0.90185102086468161</v>
      </c>
      <c r="G13" s="720"/>
      <c r="H13" s="720"/>
      <c r="I13" s="720"/>
      <c r="J13" s="720"/>
      <c r="K13" s="723" t="e">
        <f t="shared" si="1"/>
        <v>#VALUE!</v>
      </c>
      <c r="L13" s="696"/>
      <c r="M13" s="698"/>
    </row>
    <row r="14" spans="1:13" ht="45.75" customHeight="1" x14ac:dyDescent="0.25">
      <c r="A14" s="715"/>
      <c r="B14" s="718"/>
      <c r="C14" s="178" t="s">
        <v>7</v>
      </c>
      <c r="D14" s="179">
        <f>D18+D22</f>
        <v>23753994.399999999</v>
      </c>
      <c r="E14" s="179">
        <f>E18+E22</f>
        <v>24523198.199999999</v>
      </c>
      <c r="F14" s="405">
        <f>E14/D14</f>
        <v>1.0323820822320309</v>
      </c>
      <c r="G14" s="721"/>
      <c r="H14" s="721"/>
      <c r="I14" s="721"/>
      <c r="J14" s="721"/>
      <c r="K14" s="724" t="e">
        <f>(K12+0.5*K13)/K11</f>
        <v>#VALUE!</v>
      </c>
      <c r="L14" s="696"/>
      <c r="M14" s="699"/>
    </row>
    <row r="15" spans="1:13" ht="35.25" customHeight="1" outlineLevel="1" x14ac:dyDescent="0.25">
      <c r="A15" s="700" t="s">
        <v>994</v>
      </c>
      <c r="B15" s="703" t="s">
        <v>1091</v>
      </c>
      <c r="C15" s="204" t="s">
        <v>3</v>
      </c>
      <c r="D15" s="189">
        <f>SUM(D16:D18)</f>
        <v>12753118.399590001</v>
      </c>
      <c r="E15" s="189">
        <f>SUM(E16:E18)</f>
        <v>13077904.888840001</v>
      </c>
      <c r="F15" s="190">
        <f t="shared" si="0"/>
        <v>1.0254672213550877</v>
      </c>
      <c r="G15" s="706">
        <f>SUM(H15:J18)</f>
        <v>22</v>
      </c>
      <c r="H15" s="706">
        <v>15</v>
      </c>
      <c r="I15" s="706">
        <v>5</v>
      </c>
      <c r="J15" s="706">
        <v>2</v>
      </c>
      <c r="K15" s="709">
        <f>(H15+0.5*I15)/G15</f>
        <v>0.79545454545454541</v>
      </c>
      <c r="L15" s="703" t="s">
        <v>1356</v>
      </c>
      <c r="M15" s="712" t="s">
        <v>1935</v>
      </c>
    </row>
    <row r="16" spans="1:13" ht="35.25" customHeight="1" outlineLevel="1" x14ac:dyDescent="0.25">
      <c r="A16" s="701"/>
      <c r="B16" s="704"/>
      <c r="C16" s="335" t="s">
        <v>4</v>
      </c>
      <c r="D16" s="213">
        <v>2839140.39959</v>
      </c>
      <c r="E16" s="214">
        <v>2773641.8177000005</v>
      </c>
      <c r="F16" s="190">
        <f t="shared" si="0"/>
        <v>0.97693013635413795</v>
      </c>
      <c r="G16" s="707"/>
      <c r="H16" s="707"/>
      <c r="I16" s="707"/>
      <c r="J16" s="707"/>
      <c r="K16" s="710" t="e">
        <f>(K13+0.5*K14)/K12</f>
        <v>#VALUE!</v>
      </c>
      <c r="L16" s="704"/>
      <c r="M16" s="713"/>
    </row>
    <row r="17" spans="1:13" ht="35.25" customHeight="1" outlineLevel="1" x14ac:dyDescent="0.25">
      <c r="A17" s="701"/>
      <c r="B17" s="704"/>
      <c r="C17" s="335" t="s">
        <v>5</v>
      </c>
      <c r="D17" s="213">
        <v>461317.4</v>
      </c>
      <c r="E17" s="214">
        <v>447782.17113999999</v>
      </c>
      <c r="F17" s="190">
        <f t="shared" si="0"/>
        <v>0.97065961773824261</v>
      </c>
      <c r="G17" s="707"/>
      <c r="H17" s="707"/>
      <c r="I17" s="707"/>
      <c r="J17" s="707"/>
      <c r="K17" s="710" t="e">
        <f>(K14+0.5*K15)/K13</f>
        <v>#VALUE!</v>
      </c>
      <c r="L17" s="704"/>
      <c r="M17" s="713"/>
    </row>
    <row r="18" spans="1:13" ht="33.75" customHeight="1" outlineLevel="1" x14ac:dyDescent="0.25">
      <c r="A18" s="702"/>
      <c r="B18" s="705"/>
      <c r="C18" s="335" t="s">
        <v>7</v>
      </c>
      <c r="D18" s="213">
        <v>9452660.5999999996</v>
      </c>
      <c r="E18" s="214">
        <v>9856480.9000000004</v>
      </c>
      <c r="F18" s="190">
        <f t="shared" si="0"/>
        <v>1.0427202791984302</v>
      </c>
      <c r="G18" s="708"/>
      <c r="H18" s="708"/>
      <c r="I18" s="708"/>
      <c r="J18" s="708"/>
      <c r="K18" s="711" t="e">
        <f>(K16+0.5*K17)/K15</f>
        <v>#VALUE!</v>
      </c>
      <c r="L18" s="705"/>
      <c r="M18" s="714"/>
    </row>
    <row r="19" spans="1:13" ht="33.75" customHeight="1" outlineLevel="1" x14ac:dyDescent="0.25">
      <c r="A19" s="746" t="s">
        <v>995</v>
      </c>
      <c r="B19" s="703" t="s">
        <v>1092</v>
      </c>
      <c r="C19" s="204" t="s">
        <v>3</v>
      </c>
      <c r="D19" s="189">
        <f>SUM(D20:D22)</f>
        <v>18078579.778229997</v>
      </c>
      <c r="E19" s="189">
        <f>SUM(E20:E22)</f>
        <v>18403770.294212997</v>
      </c>
      <c r="F19" s="190">
        <f t="shared" si="0"/>
        <v>1.0179876140699167</v>
      </c>
      <c r="G19" s="706">
        <f>SUM(H19:J22)</f>
        <v>25</v>
      </c>
      <c r="H19" s="706">
        <v>21</v>
      </c>
      <c r="I19" s="706">
        <v>4</v>
      </c>
      <c r="J19" s="706">
        <v>0</v>
      </c>
      <c r="K19" s="709">
        <f>(H19+0.5*I19)/G19</f>
        <v>0.92</v>
      </c>
      <c r="L19" s="703" t="s">
        <v>1357</v>
      </c>
      <c r="M19" s="712" t="s">
        <v>1936</v>
      </c>
    </row>
    <row r="20" spans="1:13" ht="33.75" customHeight="1" outlineLevel="1" x14ac:dyDescent="0.25">
      <c r="A20" s="701"/>
      <c r="B20" s="704"/>
      <c r="C20" s="335" t="s">
        <v>4</v>
      </c>
      <c r="D20" s="189">
        <v>3526540.7782299994</v>
      </c>
      <c r="E20" s="189">
        <v>3488414.3877399997</v>
      </c>
      <c r="F20" s="190">
        <f t="shared" si="0"/>
        <v>0.98918872830696836</v>
      </c>
      <c r="G20" s="707"/>
      <c r="H20" s="707"/>
      <c r="I20" s="707"/>
      <c r="J20" s="707"/>
      <c r="K20" s="710" t="e">
        <f>(K17+0.5*K18)/K16</f>
        <v>#VALUE!</v>
      </c>
      <c r="L20" s="704"/>
      <c r="M20" s="713"/>
    </row>
    <row r="21" spans="1:13" ht="33.75" customHeight="1" outlineLevel="1" x14ac:dyDescent="0.25">
      <c r="A21" s="701"/>
      <c r="B21" s="704"/>
      <c r="C21" s="335" t="s">
        <v>5</v>
      </c>
      <c r="D21" s="189">
        <v>250705.2</v>
      </c>
      <c r="E21" s="189">
        <v>248638.60647299996</v>
      </c>
      <c r="F21" s="190">
        <f t="shared" si="0"/>
        <v>0.99175687809028279</v>
      </c>
      <c r="G21" s="707"/>
      <c r="H21" s="707"/>
      <c r="I21" s="707"/>
      <c r="J21" s="707"/>
      <c r="K21" s="710" t="e">
        <f>(K18+0.5*K19)/K17</f>
        <v>#VALUE!</v>
      </c>
      <c r="L21" s="704"/>
      <c r="M21" s="713"/>
    </row>
    <row r="22" spans="1:13" ht="45.75" customHeight="1" outlineLevel="1" x14ac:dyDescent="0.25">
      <c r="A22" s="702"/>
      <c r="B22" s="705"/>
      <c r="C22" s="335" t="s">
        <v>7</v>
      </c>
      <c r="D22" s="189">
        <v>14301333.799999999</v>
      </c>
      <c r="E22" s="189">
        <v>14666717.299999999</v>
      </c>
      <c r="F22" s="190">
        <f t="shared" si="0"/>
        <v>1.0255489106897149</v>
      </c>
      <c r="G22" s="708"/>
      <c r="H22" s="708"/>
      <c r="I22" s="708"/>
      <c r="J22" s="708"/>
      <c r="K22" s="711" t="e">
        <f>(K20+0.5*K21)/K19</f>
        <v>#VALUE!</v>
      </c>
      <c r="L22" s="705"/>
      <c r="M22" s="714"/>
    </row>
    <row r="23" spans="1:13" ht="45.75" customHeight="1" outlineLevel="1" x14ac:dyDescent="0.25">
      <c r="A23" s="746" t="s">
        <v>996</v>
      </c>
      <c r="B23" s="703" t="s">
        <v>1093</v>
      </c>
      <c r="C23" s="204" t="s">
        <v>3</v>
      </c>
      <c r="D23" s="189">
        <f>SUM(D24:D25)</f>
        <v>451303.21299999999</v>
      </c>
      <c r="E23" s="189">
        <f>SUM(E24:E25)</f>
        <v>449914.93299999996</v>
      </c>
      <c r="F23" s="190">
        <f t="shared" si="0"/>
        <v>0.99692384197583805</v>
      </c>
      <c r="G23" s="706">
        <f>SUM(H23:J25)</f>
        <v>3</v>
      </c>
      <c r="H23" s="706">
        <v>3</v>
      </c>
      <c r="I23" s="706">
        <v>0</v>
      </c>
      <c r="J23" s="706">
        <v>0</v>
      </c>
      <c r="K23" s="709">
        <f>(H23+0.5*I23)/G23</f>
        <v>1</v>
      </c>
      <c r="L23" s="703" t="s">
        <v>1358</v>
      </c>
      <c r="M23" s="747" t="s">
        <v>41</v>
      </c>
    </row>
    <row r="24" spans="1:13" ht="31.5" customHeight="1" outlineLevel="1" x14ac:dyDescent="0.25">
      <c r="A24" s="701"/>
      <c r="B24" s="704"/>
      <c r="C24" s="335" t="s">
        <v>4</v>
      </c>
      <c r="D24" s="189">
        <v>438620.61300000001</v>
      </c>
      <c r="E24" s="189">
        <v>438218.05099999998</v>
      </c>
      <c r="F24" s="190">
        <f t="shared" si="0"/>
        <v>0.9990822091163325</v>
      </c>
      <c r="G24" s="707"/>
      <c r="H24" s="707"/>
      <c r="I24" s="707"/>
      <c r="J24" s="707"/>
      <c r="K24" s="710" t="e">
        <f>(K21+0.5*K22)/K20</f>
        <v>#VALUE!</v>
      </c>
      <c r="L24" s="704"/>
      <c r="M24" s="748"/>
    </row>
    <row r="25" spans="1:13" ht="31.5" customHeight="1" outlineLevel="1" x14ac:dyDescent="0.25">
      <c r="A25" s="701"/>
      <c r="B25" s="704"/>
      <c r="C25" s="335" t="s">
        <v>5</v>
      </c>
      <c r="D25" s="189">
        <v>12682.6</v>
      </c>
      <c r="E25" s="189">
        <v>11696.882</v>
      </c>
      <c r="F25" s="190">
        <v>0</v>
      </c>
      <c r="G25" s="707"/>
      <c r="H25" s="707"/>
      <c r="I25" s="707"/>
      <c r="J25" s="707"/>
      <c r="K25" s="710" t="e">
        <f>(K22+0.5*K23)/K21</f>
        <v>#VALUE!</v>
      </c>
      <c r="L25" s="704"/>
      <c r="M25" s="748"/>
    </row>
    <row r="26" spans="1:13" ht="40.5" customHeight="1" outlineLevel="1" x14ac:dyDescent="0.25">
      <c r="A26" s="746" t="s">
        <v>997</v>
      </c>
      <c r="B26" s="703" t="s">
        <v>1094</v>
      </c>
      <c r="C26" s="204" t="s">
        <v>3</v>
      </c>
      <c r="D26" s="189">
        <f>SUM(D27:D28)</f>
        <v>3393646.8526300006</v>
      </c>
      <c r="E26" s="189">
        <f>SUM(E27:E28)</f>
        <v>2810152.0231271833</v>
      </c>
      <c r="F26" s="190">
        <f>E26/D26</f>
        <v>0.82806259612704791</v>
      </c>
      <c r="G26" s="675">
        <f>SUM(H26:J28)</f>
        <v>22</v>
      </c>
      <c r="H26" s="675">
        <v>14</v>
      </c>
      <c r="I26" s="675">
        <v>7</v>
      </c>
      <c r="J26" s="675">
        <v>1</v>
      </c>
      <c r="K26" s="709">
        <f>(H26+0.5*I26)/G26</f>
        <v>0.79545454545454541</v>
      </c>
      <c r="L26" s="703" t="s">
        <v>1365</v>
      </c>
      <c r="M26" s="712" t="s">
        <v>1937</v>
      </c>
    </row>
    <row r="27" spans="1:13" ht="30.75" customHeight="1" outlineLevel="1" x14ac:dyDescent="0.25">
      <c r="A27" s="701"/>
      <c r="B27" s="704"/>
      <c r="C27" s="335" t="s">
        <v>4</v>
      </c>
      <c r="D27" s="189">
        <v>1551694.4526300002</v>
      </c>
      <c r="E27" s="189">
        <v>1211466.0424271829</v>
      </c>
      <c r="F27" s="190">
        <f t="shared" ref="F27:F28" si="2">E27/D27</f>
        <v>0.78073749659531433</v>
      </c>
      <c r="G27" s="676"/>
      <c r="H27" s="676"/>
      <c r="I27" s="676"/>
      <c r="J27" s="676"/>
      <c r="K27" s="710" t="e">
        <f>(K25+0.5*#REF!)/K24</f>
        <v>#VALUE!</v>
      </c>
      <c r="L27" s="704"/>
      <c r="M27" s="713"/>
    </row>
    <row r="28" spans="1:13" ht="30.75" customHeight="1" outlineLevel="1" x14ac:dyDescent="0.25">
      <c r="A28" s="701"/>
      <c r="B28" s="704"/>
      <c r="C28" s="335" t="s">
        <v>5</v>
      </c>
      <c r="D28" s="189">
        <v>1841952.4000000001</v>
      </c>
      <c r="E28" s="189">
        <v>1598685.9807000002</v>
      </c>
      <c r="F28" s="190">
        <f t="shared" si="2"/>
        <v>0.86793012713032114</v>
      </c>
      <c r="G28" s="676"/>
      <c r="H28" s="676"/>
      <c r="I28" s="676"/>
      <c r="J28" s="676"/>
      <c r="K28" s="710" t="e">
        <f>(#REF!+0.5*K26)/K25</f>
        <v>#REF!</v>
      </c>
      <c r="L28" s="704"/>
      <c r="M28" s="713"/>
    </row>
    <row r="29" spans="1:13" ht="27.75" customHeight="1" outlineLevel="1" x14ac:dyDescent="0.25">
      <c r="A29" s="746" t="s">
        <v>998</v>
      </c>
      <c r="B29" s="703" t="s">
        <v>1095</v>
      </c>
      <c r="C29" s="204" t="s">
        <v>3</v>
      </c>
      <c r="D29" s="189">
        <f>SUM(D30:D31)</f>
        <v>763669.92410000006</v>
      </c>
      <c r="E29" s="189">
        <f>SUM(E30:E31)</f>
        <v>753916.15419999999</v>
      </c>
      <c r="F29" s="190">
        <f>E29/D29</f>
        <v>0.98722776740030049</v>
      </c>
      <c r="G29" s="675">
        <f>SUM(H29:J31)</f>
        <v>21</v>
      </c>
      <c r="H29" s="675">
        <v>18</v>
      </c>
      <c r="I29" s="675">
        <v>3</v>
      </c>
      <c r="J29" s="675">
        <v>0</v>
      </c>
      <c r="K29" s="709">
        <f>(H29+0.5*I29)/G29</f>
        <v>0.9285714285714286</v>
      </c>
      <c r="L29" s="749" t="s">
        <v>1359</v>
      </c>
      <c r="M29" s="712" t="s">
        <v>1938</v>
      </c>
    </row>
    <row r="30" spans="1:13" ht="32.25" customHeight="1" outlineLevel="1" x14ac:dyDescent="0.25">
      <c r="A30" s="701"/>
      <c r="B30" s="704"/>
      <c r="C30" s="335" t="s">
        <v>4</v>
      </c>
      <c r="D30" s="189">
        <v>740949.92410000006</v>
      </c>
      <c r="E30" s="189">
        <v>731196.15419999999</v>
      </c>
      <c r="F30" s="190">
        <f t="shared" ref="F30:F31" si="3">E30/D30</f>
        <v>0.98683612807998122</v>
      </c>
      <c r="G30" s="676"/>
      <c r="H30" s="676"/>
      <c r="I30" s="676"/>
      <c r="J30" s="676"/>
      <c r="K30" s="710" t="e">
        <f>(K28+0.5*#REF!)/K27</f>
        <v>#REF!</v>
      </c>
      <c r="L30" s="750"/>
      <c r="M30" s="713"/>
    </row>
    <row r="31" spans="1:13" ht="32.25" customHeight="1" outlineLevel="1" x14ac:dyDescent="0.25">
      <c r="A31" s="701"/>
      <c r="B31" s="704"/>
      <c r="C31" s="335" t="s">
        <v>5</v>
      </c>
      <c r="D31" s="189">
        <v>22720</v>
      </c>
      <c r="E31" s="189">
        <v>22720</v>
      </c>
      <c r="F31" s="190">
        <f t="shared" si="3"/>
        <v>1</v>
      </c>
      <c r="G31" s="676"/>
      <c r="H31" s="676"/>
      <c r="I31" s="676"/>
      <c r="J31" s="676"/>
      <c r="K31" s="710" t="e">
        <f>(#REF!+0.5*K29)/K28</f>
        <v>#REF!</v>
      </c>
      <c r="L31" s="750"/>
      <c r="M31" s="713"/>
    </row>
    <row r="32" spans="1:13" ht="31.5" customHeight="1" outlineLevel="1" x14ac:dyDescent="0.25">
      <c r="A32" s="751" t="s">
        <v>999</v>
      </c>
      <c r="B32" s="703" t="s">
        <v>1096</v>
      </c>
      <c r="C32" s="204" t="s">
        <v>3</v>
      </c>
      <c r="D32" s="189">
        <f>SUM(D33:D34)</f>
        <v>454536.53882000002</v>
      </c>
      <c r="E32" s="189">
        <f>SUM(E33:E34)</f>
        <v>438808.60131</v>
      </c>
      <c r="F32" s="190">
        <f t="shared" ref="F32:F37" si="4">E32/D32</f>
        <v>0.96539785877097906</v>
      </c>
      <c r="G32" s="675">
        <f>SUM(H32:J34)</f>
        <v>15</v>
      </c>
      <c r="H32" s="675">
        <v>15</v>
      </c>
      <c r="I32" s="675">
        <v>0</v>
      </c>
      <c r="J32" s="675">
        <v>0</v>
      </c>
      <c r="K32" s="709">
        <f>(H32+0.5*I32)/G32</f>
        <v>1</v>
      </c>
      <c r="L32" s="703" t="s">
        <v>1360</v>
      </c>
      <c r="M32" s="747" t="s">
        <v>41</v>
      </c>
    </row>
    <row r="33" spans="1:13" ht="30" customHeight="1" outlineLevel="1" x14ac:dyDescent="0.25">
      <c r="A33" s="751"/>
      <c r="B33" s="704"/>
      <c r="C33" s="335" t="s">
        <v>4</v>
      </c>
      <c r="D33" s="189">
        <v>397928.99009000004</v>
      </c>
      <c r="E33" s="189">
        <v>382201.95739</v>
      </c>
      <c r="F33" s="190">
        <f t="shared" si="4"/>
        <v>0.96047779103391528</v>
      </c>
      <c r="G33" s="676"/>
      <c r="H33" s="676"/>
      <c r="I33" s="676"/>
      <c r="J33" s="676"/>
      <c r="K33" s="710" t="e">
        <f>(K31+0.5*#REF!)/K30</f>
        <v>#REF!</v>
      </c>
      <c r="L33" s="704"/>
      <c r="M33" s="748"/>
    </row>
    <row r="34" spans="1:13" ht="31.5" customHeight="1" outlineLevel="1" x14ac:dyDescent="0.25">
      <c r="A34" s="751"/>
      <c r="B34" s="704"/>
      <c r="C34" s="335" t="s">
        <v>5</v>
      </c>
      <c r="D34" s="189">
        <v>56607.54873000001</v>
      </c>
      <c r="E34" s="189">
        <v>56606.64392000001</v>
      </c>
      <c r="F34" s="190">
        <f t="shared" si="4"/>
        <v>0.99998401608936793</v>
      </c>
      <c r="G34" s="676"/>
      <c r="H34" s="676"/>
      <c r="I34" s="676"/>
      <c r="J34" s="676"/>
      <c r="K34" s="710" t="e">
        <f>(#REF!+0.5*K32)/K31</f>
        <v>#REF!</v>
      </c>
      <c r="L34" s="704"/>
      <c r="M34" s="748"/>
    </row>
    <row r="35" spans="1:13" ht="32.25" customHeight="1" outlineLevel="1" x14ac:dyDescent="0.25">
      <c r="A35" s="751" t="s">
        <v>42</v>
      </c>
      <c r="B35" s="703" t="s">
        <v>1097</v>
      </c>
      <c r="C35" s="204" t="s">
        <v>3</v>
      </c>
      <c r="D35" s="189">
        <f>SUM(D36:D37)</f>
        <v>9702190.6052599996</v>
      </c>
      <c r="E35" s="189">
        <f>SUM(E36:E37)</f>
        <v>9683113.8513399996</v>
      </c>
      <c r="F35" s="190">
        <f t="shared" si="4"/>
        <v>0.9980337683832291</v>
      </c>
      <c r="G35" s="675">
        <f>SUM(H35:J37)</f>
        <v>17</v>
      </c>
      <c r="H35" s="675">
        <v>17</v>
      </c>
      <c r="I35" s="675">
        <v>0</v>
      </c>
      <c r="J35" s="675">
        <v>0</v>
      </c>
      <c r="K35" s="709">
        <f>(H35+0.5*I35)/G35</f>
        <v>1</v>
      </c>
      <c r="L35" s="703" t="s">
        <v>1361</v>
      </c>
      <c r="M35" s="752" t="s">
        <v>41</v>
      </c>
    </row>
    <row r="36" spans="1:13" ht="25.5" customHeight="1" outlineLevel="1" x14ac:dyDescent="0.25">
      <c r="A36" s="751"/>
      <c r="B36" s="704"/>
      <c r="C36" s="335" t="s">
        <v>4</v>
      </c>
      <c r="D36" s="189">
        <v>9700620.3052599989</v>
      </c>
      <c r="E36" s="189">
        <v>9681543.5513399988</v>
      </c>
      <c r="F36" s="190">
        <f t="shared" si="4"/>
        <v>0.99803345009703592</v>
      </c>
      <c r="G36" s="676"/>
      <c r="H36" s="676"/>
      <c r="I36" s="676"/>
      <c r="J36" s="676"/>
      <c r="K36" s="710" t="e">
        <f>(K34+0.5*#REF!)/K33</f>
        <v>#REF!</v>
      </c>
      <c r="L36" s="704"/>
      <c r="M36" s="753"/>
    </row>
    <row r="37" spans="1:13" ht="27.75" customHeight="1" outlineLevel="1" x14ac:dyDescent="0.25">
      <c r="A37" s="751"/>
      <c r="B37" s="704"/>
      <c r="C37" s="335" t="s">
        <v>5</v>
      </c>
      <c r="D37" s="189">
        <v>1570.3</v>
      </c>
      <c r="E37" s="189">
        <v>1570.3</v>
      </c>
      <c r="F37" s="190">
        <f t="shared" si="4"/>
        <v>1</v>
      </c>
      <c r="G37" s="676"/>
      <c r="H37" s="676"/>
      <c r="I37" s="676"/>
      <c r="J37" s="676"/>
      <c r="K37" s="710" t="e">
        <f>(#REF!+0.5*K35)/K34</f>
        <v>#REF!</v>
      </c>
      <c r="L37" s="704"/>
      <c r="M37" s="753"/>
    </row>
    <row r="38" spans="1:13" ht="24.75" customHeight="1" x14ac:dyDescent="0.25">
      <c r="A38" s="754" t="s">
        <v>9</v>
      </c>
      <c r="B38" s="716" t="s">
        <v>1010</v>
      </c>
      <c r="C38" s="175" t="s">
        <v>3</v>
      </c>
      <c r="D38" s="176">
        <f>SUM(D39:D41)</f>
        <v>30129820.874749999</v>
      </c>
      <c r="E38" s="176">
        <f>SUM(E39:E41)</f>
        <v>29990722.875550002</v>
      </c>
      <c r="F38" s="406">
        <f t="shared" ref="F38:F44" si="5">E38/D38</f>
        <v>0.99538337782430808</v>
      </c>
      <c r="G38" s="739">
        <f>SUM(G42:G55)</f>
        <v>110</v>
      </c>
      <c r="H38" s="739">
        <f>SUM(H42:H55)</f>
        <v>97</v>
      </c>
      <c r="I38" s="739">
        <f>SUM(I42:I55)</f>
        <v>12</v>
      </c>
      <c r="J38" s="739">
        <f>SUM(J42:J55)</f>
        <v>1</v>
      </c>
      <c r="K38" s="722">
        <f>(H38+0.5*I38)/G38</f>
        <v>0.9363636363636364</v>
      </c>
      <c r="L38" s="755" t="s">
        <v>1090</v>
      </c>
      <c r="M38" s="697"/>
    </row>
    <row r="39" spans="1:13" ht="44.25" customHeight="1" x14ac:dyDescent="0.25">
      <c r="A39" s="658"/>
      <c r="B39" s="717"/>
      <c r="C39" s="178" t="s">
        <v>4</v>
      </c>
      <c r="D39" s="179">
        <f>D43+D46+D50+D53</f>
        <v>27226917.037450001</v>
      </c>
      <c r="E39" s="179">
        <f>E43+E46+E50+E53</f>
        <v>27097970.522960003</v>
      </c>
      <c r="F39" s="405">
        <f t="shared" si="5"/>
        <v>0.99526400604546472</v>
      </c>
      <c r="G39" s="740"/>
      <c r="H39" s="740"/>
      <c r="I39" s="740"/>
      <c r="J39" s="740"/>
      <c r="K39" s="723"/>
      <c r="L39" s="756"/>
      <c r="M39" s="698"/>
    </row>
    <row r="40" spans="1:13" ht="24.75" customHeight="1" x14ac:dyDescent="0.25">
      <c r="A40" s="658"/>
      <c r="B40" s="717"/>
      <c r="C40" s="178" t="s">
        <v>5</v>
      </c>
      <c r="D40" s="179">
        <f>D44+D47+D51+D54</f>
        <v>2644897.8481899998</v>
      </c>
      <c r="E40" s="179">
        <f>E44+E47+E51+E54</f>
        <v>2634746.3634799998</v>
      </c>
      <c r="F40" s="405">
        <f t="shared" si="5"/>
        <v>0.9961618613297496</v>
      </c>
      <c r="G40" s="740"/>
      <c r="H40" s="740"/>
      <c r="I40" s="740"/>
      <c r="J40" s="740"/>
      <c r="K40" s="723"/>
      <c r="L40" s="756"/>
      <c r="M40" s="698"/>
    </row>
    <row r="41" spans="1:13" ht="24.75" customHeight="1" x14ac:dyDescent="0.25">
      <c r="A41" s="658"/>
      <c r="B41" s="717"/>
      <c r="C41" s="178" t="s">
        <v>6</v>
      </c>
      <c r="D41" s="179">
        <f>D48+D55</f>
        <v>258005.98910999999</v>
      </c>
      <c r="E41" s="179">
        <f>E48+E55</f>
        <v>258005.98910999999</v>
      </c>
      <c r="F41" s="405">
        <f t="shared" si="5"/>
        <v>1</v>
      </c>
      <c r="G41" s="740"/>
      <c r="H41" s="740"/>
      <c r="I41" s="740"/>
      <c r="J41" s="740"/>
      <c r="K41" s="723"/>
      <c r="L41" s="756"/>
      <c r="M41" s="698"/>
    </row>
    <row r="42" spans="1:13" ht="27.75" customHeight="1" outlineLevel="1" x14ac:dyDescent="0.25">
      <c r="A42" s="675" t="s">
        <v>11</v>
      </c>
      <c r="B42" s="693" t="s">
        <v>188</v>
      </c>
      <c r="C42" s="327" t="s">
        <v>3</v>
      </c>
      <c r="D42" s="189">
        <f>SUM(D43:D44)</f>
        <v>2824487.5805299999</v>
      </c>
      <c r="E42" s="189">
        <f>E43+E44</f>
        <v>2821671.27355</v>
      </c>
      <c r="F42" s="190">
        <f t="shared" si="5"/>
        <v>0.99900289631315309</v>
      </c>
      <c r="G42" s="675">
        <f>SUM(H42:J44)</f>
        <v>20</v>
      </c>
      <c r="H42" s="675">
        <v>20</v>
      </c>
      <c r="I42" s="675">
        <v>0</v>
      </c>
      <c r="J42" s="675">
        <v>0</v>
      </c>
      <c r="K42" s="709">
        <f>(H42+0.5*I42)/G42</f>
        <v>1</v>
      </c>
      <c r="L42" s="712" t="s">
        <v>1872</v>
      </c>
      <c r="M42" s="747" t="s">
        <v>41</v>
      </c>
    </row>
    <row r="43" spans="1:13" ht="27.75" customHeight="1" outlineLevel="1" x14ac:dyDescent="0.25">
      <c r="A43" s="676"/>
      <c r="B43" s="652"/>
      <c r="C43" s="327" t="s">
        <v>4</v>
      </c>
      <c r="D43" s="189">
        <v>2701838.3805299997</v>
      </c>
      <c r="E43" s="189">
        <v>2699022.0735499999</v>
      </c>
      <c r="F43" s="190">
        <f t="shared" si="5"/>
        <v>0.99895763306928542</v>
      </c>
      <c r="G43" s="676"/>
      <c r="H43" s="676"/>
      <c r="I43" s="676"/>
      <c r="J43" s="676"/>
      <c r="K43" s="710"/>
      <c r="L43" s="713"/>
      <c r="M43" s="748"/>
    </row>
    <row r="44" spans="1:13" ht="27.75" customHeight="1" outlineLevel="1" x14ac:dyDescent="0.25">
      <c r="A44" s="676"/>
      <c r="B44" s="652"/>
      <c r="C44" s="327" t="s">
        <v>5</v>
      </c>
      <c r="D44" s="189">
        <v>122649.2</v>
      </c>
      <c r="E44" s="189">
        <v>122649.2</v>
      </c>
      <c r="F44" s="190">
        <f t="shared" si="5"/>
        <v>1</v>
      </c>
      <c r="G44" s="676"/>
      <c r="H44" s="676"/>
      <c r="I44" s="676"/>
      <c r="J44" s="676"/>
      <c r="K44" s="710"/>
      <c r="L44" s="713"/>
      <c r="M44" s="748"/>
    </row>
    <row r="45" spans="1:13" ht="27.75" customHeight="1" outlineLevel="1" x14ac:dyDescent="0.25">
      <c r="A45" s="675" t="s">
        <v>12</v>
      </c>
      <c r="B45" s="693" t="s">
        <v>1087</v>
      </c>
      <c r="C45" s="327" t="s">
        <v>3</v>
      </c>
      <c r="D45" s="189">
        <f>D46+D47+D48</f>
        <v>24602345.340040002</v>
      </c>
      <c r="E45" s="189">
        <f>E46+E47+E48</f>
        <v>24499047.198240004</v>
      </c>
      <c r="F45" s="190">
        <f t="shared" ref="F45:F55" si="6">E45/D45</f>
        <v>0.99580128884574748</v>
      </c>
      <c r="G45" s="675">
        <f>SUM(H45:J48)</f>
        <v>48</v>
      </c>
      <c r="H45" s="675">
        <v>41</v>
      </c>
      <c r="I45" s="675">
        <v>7</v>
      </c>
      <c r="J45" s="675">
        <v>0</v>
      </c>
      <c r="K45" s="709">
        <f>(H45+0.5*I45)/G45</f>
        <v>0.92708333333333337</v>
      </c>
      <c r="L45" s="712" t="s">
        <v>1364</v>
      </c>
      <c r="M45" s="712" t="s">
        <v>1873</v>
      </c>
    </row>
    <row r="46" spans="1:13" ht="27.75" customHeight="1" outlineLevel="1" x14ac:dyDescent="0.25">
      <c r="A46" s="676"/>
      <c r="B46" s="652"/>
      <c r="C46" s="327" t="s">
        <v>4</v>
      </c>
      <c r="D46" s="189">
        <v>22039634.60647</v>
      </c>
      <c r="E46" s="189">
        <v>21946480.529400002</v>
      </c>
      <c r="F46" s="190">
        <f t="shared" si="6"/>
        <v>0.99577333840903826</v>
      </c>
      <c r="G46" s="676"/>
      <c r="H46" s="676"/>
      <c r="I46" s="676"/>
      <c r="J46" s="676"/>
      <c r="K46" s="710"/>
      <c r="L46" s="713"/>
      <c r="M46" s="713"/>
    </row>
    <row r="47" spans="1:13" ht="27.75" customHeight="1" outlineLevel="1" x14ac:dyDescent="0.25">
      <c r="A47" s="676"/>
      <c r="B47" s="652"/>
      <c r="C47" s="327" t="s">
        <v>5</v>
      </c>
      <c r="D47" s="189">
        <v>2307647.71838</v>
      </c>
      <c r="E47" s="189">
        <v>2297503.6536499998</v>
      </c>
      <c r="F47" s="190">
        <f t="shared" si="6"/>
        <v>0.99560415368030197</v>
      </c>
      <c r="G47" s="676"/>
      <c r="H47" s="676"/>
      <c r="I47" s="676"/>
      <c r="J47" s="676"/>
      <c r="K47" s="710"/>
      <c r="L47" s="713"/>
      <c r="M47" s="713"/>
    </row>
    <row r="48" spans="1:13" ht="27.75" customHeight="1" outlineLevel="1" x14ac:dyDescent="0.25">
      <c r="A48" s="676"/>
      <c r="B48" s="652"/>
      <c r="C48" s="327" t="s">
        <v>6</v>
      </c>
      <c r="D48" s="189">
        <v>255063.01519000001</v>
      </c>
      <c r="E48" s="189">
        <v>255063.01519000001</v>
      </c>
      <c r="F48" s="190">
        <f t="shared" si="6"/>
        <v>1</v>
      </c>
      <c r="G48" s="676"/>
      <c r="H48" s="676"/>
      <c r="I48" s="676"/>
      <c r="J48" s="676"/>
      <c r="K48" s="710"/>
      <c r="L48" s="713"/>
      <c r="M48" s="713"/>
    </row>
    <row r="49" spans="1:13" ht="29.25" customHeight="1" outlineLevel="1" x14ac:dyDescent="0.25">
      <c r="A49" s="675" t="s">
        <v>30</v>
      </c>
      <c r="B49" s="693" t="s">
        <v>1088</v>
      </c>
      <c r="C49" s="327" t="s">
        <v>3</v>
      </c>
      <c r="D49" s="189">
        <f>D50+D51</f>
        <v>1368599.2027600002</v>
      </c>
      <c r="E49" s="189">
        <f>E50+E51</f>
        <v>1364773.6930800001</v>
      </c>
      <c r="F49" s="190">
        <f t="shared" si="6"/>
        <v>0.99720479913163373</v>
      </c>
      <c r="G49" s="675">
        <f>SUM(H49:J51)</f>
        <v>20</v>
      </c>
      <c r="H49" s="675">
        <v>19</v>
      </c>
      <c r="I49" s="675">
        <v>1</v>
      </c>
      <c r="J49" s="675">
        <v>0</v>
      </c>
      <c r="K49" s="709">
        <f>(H49+0.5*I49)/G49</f>
        <v>0.97499999999999998</v>
      </c>
      <c r="L49" s="712" t="s">
        <v>1362</v>
      </c>
      <c r="M49" s="747" t="s">
        <v>41</v>
      </c>
    </row>
    <row r="50" spans="1:13" ht="29.25" customHeight="1" outlineLevel="1" x14ac:dyDescent="0.25">
      <c r="A50" s="676"/>
      <c r="B50" s="652"/>
      <c r="C50" s="327" t="s">
        <v>4</v>
      </c>
      <c r="D50" s="189">
        <v>1160998.0729500002</v>
      </c>
      <c r="E50" s="189">
        <v>1157179.98325</v>
      </c>
      <c r="F50" s="190">
        <f t="shared" si="6"/>
        <v>0.99671137292218004</v>
      </c>
      <c r="G50" s="676"/>
      <c r="H50" s="676"/>
      <c r="I50" s="676"/>
      <c r="J50" s="676"/>
      <c r="K50" s="710"/>
      <c r="L50" s="713"/>
      <c r="M50" s="748"/>
    </row>
    <row r="51" spans="1:13" ht="29.25" customHeight="1" outlineLevel="1" x14ac:dyDescent="0.25">
      <c r="A51" s="676"/>
      <c r="B51" s="652"/>
      <c r="C51" s="327" t="s">
        <v>5</v>
      </c>
      <c r="D51" s="189">
        <v>207601.12981000001</v>
      </c>
      <c r="E51" s="189">
        <v>207593.70983000001</v>
      </c>
      <c r="F51" s="190">
        <f t="shared" si="6"/>
        <v>0.99996425847967785</v>
      </c>
      <c r="G51" s="676"/>
      <c r="H51" s="676"/>
      <c r="I51" s="676"/>
      <c r="J51" s="676"/>
      <c r="K51" s="710"/>
      <c r="L51" s="713"/>
      <c r="M51" s="748"/>
    </row>
    <row r="52" spans="1:13" ht="24.75" customHeight="1" outlineLevel="1" x14ac:dyDescent="0.25">
      <c r="A52" s="675" t="s">
        <v>31</v>
      </c>
      <c r="B52" s="693" t="s">
        <v>1089</v>
      </c>
      <c r="C52" s="327" t="s">
        <v>3</v>
      </c>
      <c r="D52" s="189">
        <f>D53+D54+D55</f>
        <v>1334388.7514200003</v>
      </c>
      <c r="E52" s="189">
        <f>E53+E54+E55</f>
        <v>1305230.71068</v>
      </c>
      <c r="F52" s="190">
        <f t="shared" si="6"/>
        <v>0.97814876608561674</v>
      </c>
      <c r="G52" s="675">
        <f>SUM(H52:J55)</f>
        <v>22</v>
      </c>
      <c r="H52" s="675">
        <v>17</v>
      </c>
      <c r="I52" s="675">
        <v>4</v>
      </c>
      <c r="J52" s="675">
        <v>1</v>
      </c>
      <c r="K52" s="709">
        <f>(H52+0.5*I52)/G52</f>
        <v>0.86363636363636365</v>
      </c>
      <c r="L52" s="712" t="s">
        <v>1363</v>
      </c>
      <c r="M52" s="712" t="s">
        <v>1874</v>
      </c>
    </row>
    <row r="53" spans="1:13" ht="24.75" customHeight="1" outlineLevel="1" x14ac:dyDescent="0.25">
      <c r="A53" s="676"/>
      <c r="B53" s="652"/>
      <c r="C53" s="327" t="s">
        <v>4</v>
      </c>
      <c r="D53" s="189">
        <v>1324445.9775000003</v>
      </c>
      <c r="E53" s="189">
        <v>1295287.93676</v>
      </c>
      <c r="F53" s="190">
        <f t="shared" si="6"/>
        <v>0.97798472626642086</v>
      </c>
      <c r="G53" s="676"/>
      <c r="H53" s="676"/>
      <c r="I53" s="676"/>
      <c r="J53" s="676"/>
      <c r="K53" s="710"/>
      <c r="L53" s="713"/>
      <c r="M53" s="713"/>
    </row>
    <row r="54" spans="1:13" ht="24.75" customHeight="1" outlineLevel="1" x14ac:dyDescent="0.25">
      <c r="A54" s="676"/>
      <c r="B54" s="652"/>
      <c r="C54" s="327" t="s">
        <v>5</v>
      </c>
      <c r="D54" s="189">
        <v>6999.8</v>
      </c>
      <c r="E54" s="189">
        <v>6999.8</v>
      </c>
      <c r="F54" s="190">
        <f t="shared" si="6"/>
        <v>1</v>
      </c>
      <c r="G54" s="676"/>
      <c r="H54" s="676"/>
      <c r="I54" s="676"/>
      <c r="J54" s="676"/>
      <c r="K54" s="710"/>
      <c r="L54" s="713"/>
      <c r="M54" s="713"/>
    </row>
    <row r="55" spans="1:13" ht="24.75" customHeight="1" outlineLevel="1" x14ac:dyDescent="0.25">
      <c r="A55" s="676"/>
      <c r="B55" s="652"/>
      <c r="C55" s="327" t="s">
        <v>6</v>
      </c>
      <c r="D55" s="189">
        <v>2942.9739199999999</v>
      </c>
      <c r="E55" s="189">
        <v>2942.9739199999999</v>
      </c>
      <c r="F55" s="190">
        <f t="shared" si="6"/>
        <v>1</v>
      </c>
      <c r="G55" s="676"/>
      <c r="H55" s="676"/>
      <c r="I55" s="676"/>
      <c r="J55" s="676"/>
      <c r="K55" s="710"/>
      <c r="L55" s="713"/>
      <c r="M55" s="713"/>
    </row>
    <row r="56" spans="1:13" ht="22.5" customHeight="1" x14ac:dyDescent="0.25">
      <c r="A56" s="757" t="s">
        <v>43</v>
      </c>
      <c r="B56" s="760" t="s">
        <v>1018</v>
      </c>
      <c r="C56" s="466" t="s">
        <v>3</v>
      </c>
      <c r="D56" s="176">
        <f>SUM(D57:D59)</f>
        <v>22562629.871029999</v>
      </c>
      <c r="E56" s="176">
        <f>SUM(E57:E59)</f>
        <v>22355062.155350003</v>
      </c>
      <c r="F56" s="406">
        <f t="shared" ref="F56:F70" si="7">E56/D56</f>
        <v>0.99080037580430691</v>
      </c>
      <c r="G56" s="763">
        <f>SUM(G60:G70)</f>
        <v>167</v>
      </c>
      <c r="H56" s="763">
        <f>SUM(H60:H70)</f>
        <v>141</v>
      </c>
      <c r="I56" s="763">
        <f>SUM(I60:I70)</f>
        <v>20</v>
      </c>
      <c r="J56" s="763">
        <f>SUM(J60:J70)</f>
        <v>6</v>
      </c>
      <c r="K56" s="692">
        <f>(H56+I56/2)/G56</f>
        <v>0.90419161676646709</v>
      </c>
      <c r="L56" s="766" t="s">
        <v>1044</v>
      </c>
      <c r="M56" s="769"/>
    </row>
    <row r="57" spans="1:13" ht="22.5" customHeight="1" x14ac:dyDescent="0.25">
      <c r="A57" s="758"/>
      <c r="B57" s="761"/>
      <c r="C57" s="467" t="s">
        <v>4</v>
      </c>
      <c r="D57" s="468">
        <f>D61+D64+D68+D70</f>
        <v>19825016.17103</v>
      </c>
      <c r="E57" s="468">
        <f>E61+E64+E68+E70</f>
        <v>19629384.472970005</v>
      </c>
      <c r="F57" s="405">
        <f t="shared" si="7"/>
        <v>0.99013207876491582</v>
      </c>
      <c r="G57" s="664"/>
      <c r="H57" s="664"/>
      <c r="I57" s="664"/>
      <c r="J57" s="664"/>
      <c r="K57" s="667" t="e">
        <f>(#REF!+#REF!/2)/#REF!</f>
        <v>#REF!</v>
      </c>
      <c r="L57" s="767"/>
      <c r="M57" s="770"/>
    </row>
    <row r="58" spans="1:13" ht="22.5" customHeight="1" x14ac:dyDescent="0.25">
      <c r="A58" s="758"/>
      <c r="B58" s="761"/>
      <c r="C58" s="467" t="s">
        <v>5</v>
      </c>
      <c r="D58" s="468">
        <f>D62+D65+D69</f>
        <v>2592580</v>
      </c>
      <c r="E58" s="468">
        <f>E62+E65+E69</f>
        <v>2580122.6823799997</v>
      </c>
      <c r="F58" s="405">
        <f t="shared" si="7"/>
        <v>0.99519501129376897</v>
      </c>
      <c r="G58" s="664"/>
      <c r="H58" s="664"/>
      <c r="I58" s="664"/>
      <c r="J58" s="664"/>
      <c r="K58" s="667"/>
      <c r="L58" s="767"/>
      <c r="M58" s="770"/>
    </row>
    <row r="59" spans="1:13" ht="22.5" customHeight="1" x14ac:dyDescent="0.25">
      <c r="A59" s="759"/>
      <c r="B59" s="762"/>
      <c r="C59" s="467" t="s">
        <v>7</v>
      </c>
      <c r="D59" s="468">
        <f>D66</f>
        <v>145033.70000000001</v>
      </c>
      <c r="E59" s="468">
        <f>E66</f>
        <v>145555</v>
      </c>
      <c r="F59" s="405">
        <f t="shared" si="7"/>
        <v>1.0035943370402878</v>
      </c>
      <c r="G59" s="764"/>
      <c r="H59" s="764"/>
      <c r="I59" s="764"/>
      <c r="J59" s="764"/>
      <c r="K59" s="765" t="e">
        <f>(K56+K57/2)/#REF!</f>
        <v>#REF!</v>
      </c>
      <c r="L59" s="768"/>
      <c r="M59" s="771"/>
    </row>
    <row r="60" spans="1:13" ht="36.75" customHeight="1" outlineLevel="1" x14ac:dyDescent="0.25">
      <c r="A60" s="772" t="s">
        <v>13</v>
      </c>
      <c r="B60" s="775" t="s">
        <v>937</v>
      </c>
      <c r="C60" s="193" t="s">
        <v>3</v>
      </c>
      <c r="D60" s="194">
        <f>SUM(D61:D62)</f>
        <v>4641538.6099999985</v>
      </c>
      <c r="E60" s="194">
        <f>SUM(E61:E62)</f>
        <v>4628802.5669999998</v>
      </c>
      <c r="F60" s="195">
        <f t="shared" si="7"/>
        <v>0.99725607302445796</v>
      </c>
      <c r="G60" s="681">
        <f>SUM(H60:J62)</f>
        <v>17</v>
      </c>
      <c r="H60" s="681">
        <v>12</v>
      </c>
      <c r="I60" s="681">
        <v>2</v>
      </c>
      <c r="J60" s="681">
        <v>3</v>
      </c>
      <c r="K60" s="778">
        <f>(H60+I60/2)/G60</f>
        <v>0.76470588235294112</v>
      </c>
      <c r="L60" s="775" t="s">
        <v>1040</v>
      </c>
      <c r="M60" s="775" t="s">
        <v>1265</v>
      </c>
    </row>
    <row r="61" spans="1:13" ht="39" customHeight="1" outlineLevel="1" x14ac:dyDescent="0.25">
      <c r="A61" s="773"/>
      <c r="B61" s="776"/>
      <c r="C61" s="193" t="s">
        <v>4</v>
      </c>
      <c r="D61" s="194">
        <v>4519725.3099999987</v>
      </c>
      <c r="E61" s="194">
        <v>4507134.0669999998</v>
      </c>
      <c r="F61" s="195">
        <f t="shared" si="7"/>
        <v>0.9972141574683443</v>
      </c>
      <c r="G61" s="682"/>
      <c r="H61" s="682"/>
      <c r="I61" s="682"/>
      <c r="J61" s="682"/>
      <c r="K61" s="778"/>
      <c r="L61" s="776"/>
      <c r="M61" s="776"/>
    </row>
    <row r="62" spans="1:13" ht="36.75" customHeight="1" outlineLevel="1" x14ac:dyDescent="0.25">
      <c r="A62" s="774"/>
      <c r="B62" s="777"/>
      <c r="C62" s="193" t="s">
        <v>5</v>
      </c>
      <c r="D62" s="194">
        <v>121813.3</v>
      </c>
      <c r="E62" s="194">
        <v>121668.5</v>
      </c>
      <c r="F62" s="195">
        <f t="shared" si="7"/>
        <v>0.99881129564669868</v>
      </c>
      <c r="G62" s="683"/>
      <c r="H62" s="683"/>
      <c r="I62" s="683"/>
      <c r="J62" s="683"/>
      <c r="K62" s="778"/>
      <c r="L62" s="777"/>
      <c r="M62" s="777"/>
    </row>
    <row r="63" spans="1:13" ht="22.5" customHeight="1" outlineLevel="1" x14ac:dyDescent="0.25">
      <c r="A63" s="772" t="s">
        <v>44</v>
      </c>
      <c r="B63" s="775" t="s">
        <v>190</v>
      </c>
      <c r="C63" s="193" t="s">
        <v>3</v>
      </c>
      <c r="D63" s="194">
        <f>SUM(D64:D66)</f>
        <v>14771007.138000002</v>
      </c>
      <c r="E63" s="194">
        <f>SUM(E64:E66)</f>
        <v>14662654.579340005</v>
      </c>
      <c r="F63" s="195">
        <f t="shared" si="7"/>
        <v>0.99266451111642562</v>
      </c>
      <c r="G63" s="681">
        <f>SUM(H63:J66)</f>
        <v>132</v>
      </c>
      <c r="H63" s="681">
        <v>116</v>
      </c>
      <c r="I63" s="681">
        <v>13</v>
      </c>
      <c r="J63" s="681">
        <v>3</v>
      </c>
      <c r="K63" s="778">
        <f>(H63+I63/2)/G63</f>
        <v>0.92803030303030298</v>
      </c>
      <c r="L63" s="779" t="s">
        <v>1041</v>
      </c>
      <c r="M63" s="775" t="s">
        <v>1740</v>
      </c>
    </row>
    <row r="64" spans="1:13" ht="22.5" customHeight="1" outlineLevel="1" x14ac:dyDescent="0.25">
      <c r="A64" s="773"/>
      <c r="B64" s="776"/>
      <c r="C64" s="331" t="s">
        <v>4</v>
      </c>
      <c r="D64" s="196">
        <v>12168130.638000002</v>
      </c>
      <c r="E64" s="196">
        <v>12071569.296960006</v>
      </c>
      <c r="F64" s="195">
        <f t="shared" si="7"/>
        <v>0.99206440628288095</v>
      </c>
      <c r="G64" s="682"/>
      <c r="H64" s="682"/>
      <c r="I64" s="682"/>
      <c r="J64" s="682"/>
      <c r="K64" s="778"/>
      <c r="L64" s="780"/>
      <c r="M64" s="776"/>
    </row>
    <row r="65" spans="1:13" ht="22.5" customHeight="1" outlineLevel="1" x14ac:dyDescent="0.25">
      <c r="A65" s="773"/>
      <c r="B65" s="776"/>
      <c r="C65" s="331" t="s">
        <v>5</v>
      </c>
      <c r="D65" s="194">
        <v>2457842.8000000003</v>
      </c>
      <c r="E65" s="194">
        <v>2445530.2823799998</v>
      </c>
      <c r="F65" s="195">
        <f t="shared" si="7"/>
        <v>0.99499051866946064</v>
      </c>
      <c r="G65" s="682"/>
      <c r="H65" s="682"/>
      <c r="I65" s="682"/>
      <c r="J65" s="682"/>
      <c r="K65" s="778"/>
      <c r="L65" s="780"/>
      <c r="M65" s="776"/>
    </row>
    <row r="66" spans="1:13" ht="29.25" customHeight="1" outlineLevel="1" x14ac:dyDescent="0.25">
      <c r="A66" s="774"/>
      <c r="B66" s="777"/>
      <c r="C66" s="193" t="s">
        <v>7</v>
      </c>
      <c r="D66" s="194">
        <v>145033.70000000001</v>
      </c>
      <c r="E66" s="194">
        <v>145555</v>
      </c>
      <c r="F66" s="195">
        <f t="shared" si="7"/>
        <v>1.0035943370402878</v>
      </c>
      <c r="G66" s="683"/>
      <c r="H66" s="683"/>
      <c r="I66" s="683"/>
      <c r="J66" s="683"/>
      <c r="K66" s="778"/>
      <c r="L66" s="781"/>
      <c r="M66" s="777"/>
    </row>
    <row r="67" spans="1:13" ht="45" customHeight="1" outlineLevel="1" x14ac:dyDescent="0.25">
      <c r="A67" s="772" t="s">
        <v>14</v>
      </c>
      <c r="B67" s="775" t="s">
        <v>938</v>
      </c>
      <c r="C67" s="193" t="s">
        <v>3</v>
      </c>
      <c r="D67" s="194">
        <f>SUM(D68:D69)</f>
        <v>2237492.4230299997</v>
      </c>
      <c r="E67" s="194">
        <f>SUM(E68:E69)</f>
        <v>2155824.0090100002</v>
      </c>
      <c r="F67" s="195">
        <f t="shared" si="7"/>
        <v>0.96350002655678058</v>
      </c>
      <c r="G67" s="681">
        <f>SUM(H67:J69)</f>
        <v>15</v>
      </c>
      <c r="H67" s="681">
        <v>10</v>
      </c>
      <c r="I67" s="681">
        <v>5</v>
      </c>
      <c r="J67" s="681">
        <v>0</v>
      </c>
      <c r="K67" s="684">
        <f>(H67+I67/2)/G67</f>
        <v>0.83333333333333337</v>
      </c>
      <c r="L67" s="775" t="s">
        <v>1042</v>
      </c>
      <c r="M67" s="775" t="s">
        <v>1741</v>
      </c>
    </row>
    <row r="68" spans="1:13" ht="45" customHeight="1" outlineLevel="1" x14ac:dyDescent="0.25">
      <c r="A68" s="773"/>
      <c r="B68" s="776"/>
      <c r="C68" s="193" t="s">
        <v>4</v>
      </c>
      <c r="D68" s="194">
        <v>2224568.5230299998</v>
      </c>
      <c r="E68" s="194">
        <v>2142900.1090100002</v>
      </c>
      <c r="F68" s="195">
        <f t="shared" si="7"/>
        <v>0.96328797554468581</v>
      </c>
      <c r="G68" s="682"/>
      <c r="H68" s="682"/>
      <c r="I68" s="682"/>
      <c r="J68" s="682"/>
      <c r="K68" s="649"/>
      <c r="L68" s="776"/>
      <c r="M68" s="776"/>
    </row>
    <row r="69" spans="1:13" ht="45" customHeight="1" outlineLevel="1" x14ac:dyDescent="0.25">
      <c r="A69" s="774"/>
      <c r="B69" s="777"/>
      <c r="C69" s="193" t="s">
        <v>5</v>
      </c>
      <c r="D69" s="194">
        <v>12923.9</v>
      </c>
      <c r="E69" s="194">
        <v>12923.9</v>
      </c>
      <c r="F69" s="195">
        <f t="shared" si="7"/>
        <v>1</v>
      </c>
      <c r="G69" s="683"/>
      <c r="H69" s="683"/>
      <c r="I69" s="683"/>
      <c r="J69" s="683"/>
      <c r="K69" s="685"/>
      <c r="L69" s="777"/>
      <c r="M69" s="777"/>
    </row>
    <row r="70" spans="1:13" ht="57" customHeight="1" outlineLevel="1" x14ac:dyDescent="0.25">
      <c r="A70" s="193" t="s">
        <v>181</v>
      </c>
      <c r="B70" s="197" t="s">
        <v>189</v>
      </c>
      <c r="C70" s="193" t="s">
        <v>4</v>
      </c>
      <c r="D70" s="437">
        <v>912591.7</v>
      </c>
      <c r="E70" s="437">
        <v>907780.99999999988</v>
      </c>
      <c r="F70" s="195">
        <f t="shared" si="7"/>
        <v>0.99472852974665438</v>
      </c>
      <c r="G70" s="371">
        <f>SUM(H70:J70)</f>
        <v>3</v>
      </c>
      <c r="H70" s="324">
        <v>3</v>
      </c>
      <c r="I70" s="324">
        <v>0</v>
      </c>
      <c r="J70" s="324">
        <v>0</v>
      </c>
      <c r="K70" s="325">
        <f>(H70+I70/2)/G70</f>
        <v>1</v>
      </c>
      <c r="L70" s="332" t="s">
        <v>1043</v>
      </c>
      <c r="M70" s="198" t="s">
        <v>41</v>
      </c>
    </row>
    <row r="71" spans="1:13" ht="19.5" customHeight="1" x14ac:dyDescent="0.25">
      <c r="A71" s="657" t="s">
        <v>15</v>
      </c>
      <c r="B71" s="660" t="s">
        <v>1019</v>
      </c>
      <c r="C71" s="175" t="s">
        <v>3</v>
      </c>
      <c r="D71" s="469">
        <f>SUM(D72:D75)</f>
        <v>3443915.2358310525</v>
      </c>
      <c r="E71" s="469">
        <f>SUM(E72:E75)</f>
        <v>3402744.28932</v>
      </c>
      <c r="F71" s="406">
        <f>E71/D71</f>
        <v>0.98804530782793276</v>
      </c>
      <c r="G71" s="663">
        <f>SUM(G76:G88)</f>
        <v>38</v>
      </c>
      <c r="H71" s="663">
        <f>SUM(H76:H88)</f>
        <v>31</v>
      </c>
      <c r="I71" s="663">
        <f>SUM(I76:I88)</f>
        <v>6</v>
      </c>
      <c r="J71" s="663">
        <f>SUM(J76:J88)</f>
        <v>1</v>
      </c>
      <c r="K71" s="666">
        <f>(H71+I71/2)/G71</f>
        <v>0.89473684210526316</v>
      </c>
      <c r="L71" s="669" t="s">
        <v>1101</v>
      </c>
      <c r="M71" s="672"/>
    </row>
    <row r="72" spans="1:13" ht="19.5" customHeight="1" x14ac:dyDescent="0.25">
      <c r="A72" s="658"/>
      <c r="B72" s="661"/>
      <c r="C72" s="178" t="s">
        <v>4</v>
      </c>
      <c r="D72" s="470">
        <f>D77+D80+D84+D88</f>
        <v>2722263.6099700001</v>
      </c>
      <c r="E72" s="470">
        <f>E77+E80+E84+E88</f>
        <v>2693766.4432600001</v>
      </c>
      <c r="F72" s="405">
        <f t="shared" ref="F72:F88" si="8">E72/D72</f>
        <v>0.98953181220009989</v>
      </c>
      <c r="G72" s="664"/>
      <c r="H72" s="664"/>
      <c r="I72" s="664"/>
      <c r="J72" s="664"/>
      <c r="K72" s="667"/>
      <c r="L72" s="670"/>
      <c r="M72" s="673"/>
    </row>
    <row r="73" spans="1:13" ht="19.5" customHeight="1" x14ac:dyDescent="0.25">
      <c r="A73" s="658"/>
      <c r="B73" s="661"/>
      <c r="C73" s="178" t="s">
        <v>5</v>
      </c>
      <c r="D73" s="470">
        <f>D81+D85</f>
        <v>632873.55863999994</v>
      </c>
      <c r="E73" s="470">
        <f>E81+E85</f>
        <v>632873.55863999994</v>
      </c>
      <c r="F73" s="405">
        <f t="shared" si="8"/>
        <v>1</v>
      </c>
      <c r="G73" s="664"/>
      <c r="H73" s="664"/>
      <c r="I73" s="664"/>
      <c r="J73" s="664"/>
      <c r="K73" s="667"/>
      <c r="L73" s="670"/>
      <c r="M73" s="673"/>
    </row>
    <row r="74" spans="1:13" ht="19.5" customHeight="1" x14ac:dyDescent="0.25">
      <c r="A74" s="658"/>
      <c r="B74" s="661"/>
      <c r="C74" s="178" t="s">
        <v>6</v>
      </c>
      <c r="D74" s="470">
        <f>D78+D82+D86</f>
        <v>77778.067221052625</v>
      </c>
      <c r="E74" s="470">
        <f>E78+E82+E86</f>
        <v>76104.287419999993</v>
      </c>
      <c r="F74" s="405">
        <f t="shared" si="8"/>
        <v>0.97848005407108418</v>
      </c>
      <c r="G74" s="664"/>
      <c r="H74" s="664"/>
      <c r="I74" s="664"/>
      <c r="J74" s="664"/>
      <c r="K74" s="667"/>
      <c r="L74" s="670"/>
      <c r="M74" s="673"/>
    </row>
    <row r="75" spans="1:13" ht="19.5" customHeight="1" x14ac:dyDescent="0.25">
      <c r="A75" s="659"/>
      <c r="B75" s="662"/>
      <c r="C75" s="178" t="s">
        <v>7</v>
      </c>
      <c r="D75" s="470">
        <f>D87</f>
        <v>11000</v>
      </c>
      <c r="E75" s="470">
        <f>E87</f>
        <v>0</v>
      </c>
      <c r="F75" s="405">
        <f t="shared" ref="F75" si="9">E75/D75</f>
        <v>0</v>
      </c>
      <c r="G75" s="665"/>
      <c r="H75" s="665"/>
      <c r="I75" s="665"/>
      <c r="J75" s="665"/>
      <c r="K75" s="668"/>
      <c r="L75" s="671"/>
      <c r="M75" s="674"/>
    </row>
    <row r="76" spans="1:13" s="208" customFormat="1" ht="24.75" customHeight="1" outlineLevel="1" x14ac:dyDescent="0.25">
      <c r="A76" s="675" t="s">
        <v>16</v>
      </c>
      <c r="B76" s="678" t="s">
        <v>1098</v>
      </c>
      <c r="C76" s="327" t="s">
        <v>3</v>
      </c>
      <c r="D76" s="189">
        <f>SUM(D77:D78)</f>
        <v>542015.88037999999</v>
      </c>
      <c r="E76" s="189">
        <f>SUM(E77:E78)</f>
        <v>530652.1912</v>
      </c>
      <c r="F76" s="190">
        <f t="shared" si="8"/>
        <v>0.9790343980843641</v>
      </c>
      <c r="G76" s="681">
        <f>SUM(H76:J78)</f>
        <v>11</v>
      </c>
      <c r="H76" s="681">
        <v>10</v>
      </c>
      <c r="I76" s="681">
        <v>1</v>
      </c>
      <c r="J76" s="681">
        <v>0</v>
      </c>
      <c r="K76" s="684">
        <f>(H76+I76/2)/G76</f>
        <v>0.95454545454545459</v>
      </c>
      <c r="L76" s="678" t="s">
        <v>1011</v>
      </c>
      <c r="M76" s="675" t="s">
        <v>41</v>
      </c>
    </row>
    <row r="77" spans="1:13" s="208" customFormat="1" ht="24.75" customHeight="1" outlineLevel="1" x14ac:dyDescent="0.25">
      <c r="A77" s="676"/>
      <c r="B77" s="679"/>
      <c r="C77" s="327" t="s">
        <v>4</v>
      </c>
      <c r="D77" s="189">
        <v>496768.91758000001</v>
      </c>
      <c r="E77" s="189">
        <v>487078.96219999995</v>
      </c>
      <c r="F77" s="190">
        <f t="shared" si="8"/>
        <v>0.98049403850143346</v>
      </c>
      <c r="G77" s="682"/>
      <c r="H77" s="682"/>
      <c r="I77" s="682"/>
      <c r="J77" s="682"/>
      <c r="K77" s="649"/>
      <c r="L77" s="679"/>
      <c r="M77" s="676"/>
    </row>
    <row r="78" spans="1:13" s="208" customFormat="1" ht="24.75" customHeight="1" outlineLevel="1" x14ac:dyDescent="0.25">
      <c r="A78" s="677"/>
      <c r="B78" s="680"/>
      <c r="C78" s="327" t="s">
        <v>6</v>
      </c>
      <c r="D78" s="189">
        <v>45246.962800000001</v>
      </c>
      <c r="E78" s="189">
        <v>43573.228999999999</v>
      </c>
      <c r="F78" s="190">
        <f t="shared" si="8"/>
        <v>0.96300892487749468</v>
      </c>
      <c r="G78" s="683"/>
      <c r="H78" s="683"/>
      <c r="I78" s="683"/>
      <c r="J78" s="683"/>
      <c r="K78" s="685"/>
      <c r="L78" s="680"/>
      <c r="M78" s="677"/>
    </row>
    <row r="79" spans="1:13" ht="31.5" customHeight="1" outlineLevel="1" x14ac:dyDescent="0.25">
      <c r="A79" s="675" t="s">
        <v>38</v>
      </c>
      <c r="B79" s="678" t="s">
        <v>1099</v>
      </c>
      <c r="C79" s="327" t="s">
        <v>3</v>
      </c>
      <c r="D79" s="189">
        <f>SUM(D80:D82)</f>
        <v>1432872.8257700002</v>
      </c>
      <c r="E79" s="189">
        <f>SUM(E80:E82)</f>
        <v>1431540.6142900002</v>
      </c>
      <c r="F79" s="190">
        <f t="shared" si="8"/>
        <v>0.99907025141656647</v>
      </c>
      <c r="G79" s="681">
        <f>SUM(H79:J82)</f>
        <v>14</v>
      </c>
      <c r="H79" s="681">
        <v>11</v>
      </c>
      <c r="I79" s="681">
        <v>3</v>
      </c>
      <c r="J79" s="681">
        <v>0</v>
      </c>
      <c r="K79" s="684">
        <f>(H79+I79/2)/G79</f>
        <v>0.8928571428571429</v>
      </c>
      <c r="L79" s="678" t="s">
        <v>1375</v>
      </c>
      <c r="M79" s="675" t="s">
        <v>41</v>
      </c>
    </row>
    <row r="80" spans="1:13" ht="22.5" customHeight="1" outlineLevel="1" x14ac:dyDescent="0.25">
      <c r="A80" s="676"/>
      <c r="B80" s="679"/>
      <c r="C80" s="327" t="s">
        <v>4</v>
      </c>
      <c r="D80" s="189">
        <v>1403953.9771300002</v>
      </c>
      <c r="E80" s="189">
        <v>1402621.7656500002</v>
      </c>
      <c r="F80" s="190">
        <f t="shared" si="8"/>
        <v>0.99905110031973887</v>
      </c>
      <c r="G80" s="682"/>
      <c r="H80" s="682"/>
      <c r="I80" s="682"/>
      <c r="J80" s="682"/>
      <c r="K80" s="649" t="e">
        <f>(#REF!+#REF!/2)/#REF!</f>
        <v>#REF!</v>
      </c>
      <c r="L80" s="679"/>
      <c r="M80" s="676"/>
    </row>
    <row r="81" spans="1:13" ht="22.5" customHeight="1" outlineLevel="1" x14ac:dyDescent="0.25">
      <c r="A81" s="676"/>
      <c r="B81" s="679"/>
      <c r="C81" s="327" t="s">
        <v>5</v>
      </c>
      <c r="D81" s="189">
        <v>8062.6586400000006</v>
      </c>
      <c r="E81" s="189">
        <v>8062.6586400000006</v>
      </c>
      <c r="F81" s="190">
        <f t="shared" si="8"/>
        <v>1</v>
      </c>
      <c r="G81" s="682"/>
      <c r="H81" s="682"/>
      <c r="I81" s="682"/>
      <c r="J81" s="682"/>
      <c r="K81" s="649"/>
      <c r="L81" s="679"/>
      <c r="M81" s="676"/>
    </row>
    <row r="82" spans="1:13" ht="27.75" customHeight="1" outlineLevel="1" x14ac:dyDescent="0.25">
      <c r="A82" s="677"/>
      <c r="B82" s="680"/>
      <c r="C82" s="327" t="s">
        <v>6</v>
      </c>
      <c r="D82" s="189">
        <v>20856.189999999999</v>
      </c>
      <c r="E82" s="189">
        <v>20856.189999999999</v>
      </c>
      <c r="F82" s="190">
        <f t="shared" si="8"/>
        <v>1</v>
      </c>
      <c r="G82" s="683"/>
      <c r="H82" s="683"/>
      <c r="I82" s="683"/>
      <c r="J82" s="683"/>
      <c r="K82" s="685" t="e">
        <f>(#REF!+K79/2)/#REF!</f>
        <v>#REF!</v>
      </c>
      <c r="L82" s="680"/>
      <c r="M82" s="677"/>
    </row>
    <row r="83" spans="1:13" s="208" customFormat="1" ht="20.25" customHeight="1" outlineLevel="1" x14ac:dyDescent="0.25">
      <c r="A83" s="782" t="s">
        <v>17</v>
      </c>
      <c r="B83" s="651" t="s">
        <v>1100</v>
      </c>
      <c r="C83" s="327" t="s">
        <v>3</v>
      </c>
      <c r="D83" s="189">
        <f>SUM(D84:D87)</f>
        <v>1412077.9338110527</v>
      </c>
      <c r="E83" s="189">
        <f>SUM(E84:E87)</f>
        <v>1384971.5516899999</v>
      </c>
      <c r="F83" s="190">
        <f t="shared" si="8"/>
        <v>0.98080390503100956</v>
      </c>
      <c r="G83" s="784">
        <f>SUM(H83:J86)</f>
        <v>12</v>
      </c>
      <c r="H83" s="784">
        <v>9</v>
      </c>
      <c r="I83" s="784">
        <v>2</v>
      </c>
      <c r="J83" s="784">
        <v>1</v>
      </c>
      <c r="K83" s="648">
        <f>(H83+I83/2)/G83</f>
        <v>0.83333333333333337</v>
      </c>
      <c r="L83" s="651" t="s">
        <v>1376</v>
      </c>
      <c r="M83" s="654" t="s">
        <v>1943</v>
      </c>
    </row>
    <row r="84" spans="1:13" s="208" customFormat="1" ht="20.25" customHeight="1" outlineLevel="1" x14ac:dyDescent="0.25">
      <c r="A84" s="676"/>
      <c r="B84" s="652"/>
      <c r="C84" s="327" t="s">
        <v>4</v>
      </c>
      <c r="D84" s="189">
        <v>764592.11939000001</v>
      </c>
      <c r="E84" s="189">
        <v>748485.78327000001</v>
      </c>
      <c r="F84" s="190">
        <f t="shared" si="8"/>
        <v>0.978934734335413</v>
      </c>
      <c r="G84" s="682"/>
      <c r="H84" s="682"/>
      <c r="I84" s="682"/>
      <c r="J84" s="682"/>
      <c r="K84" s="649" t="e">
        <f>(#REF!+#REF!/2)/#REF!</f>
        <v>#REF!</v>
      </c>
      <c r="L84" s="652"/>
      <c r="M84" s="655"/>
    </row>
    <row r="85" spans="1:13" s="208" customFormat="1" ht="20.25" customHeight="1" outlineLevel="1" x14ac:dyDescent="0.25">
      <c r="A85" s="676"/>
      <c r="B85" s="652"/>
      <c r="C85" s="327" t="s">
        <v>5</v>
      </c>
      <c r="D85" s="189">
        <v>624810.89999999991</v>
      </c>
      <c r="E85" s="189">
        <v>624810.89999999991</v>
      </c>
      <c r="F85" s="190">
        <f t="shared" si="8"/>
        <v>1</v>
      </c>
      <c r="G85" s="682"/>
      <c r="H85" s="682"/>
      <c r="I85" s="682"/>
      <c r="J85" s="682"/>
      <c r="K85" s="649"/>
      <c r="L85" s="652"/>
      <c r="M85" s="655"/>
    </row>
    <row r="86" spans="1:13" s="208" customFormat="1" ht="20.25" customHeight="1" outlineLevel="1" x14ac:dyDescent="0.25">
      <c r="A86" s="676"/>
      <c r="B86" s="652"/>
      <c r="C86" s="327" t="s">
        <v>6</v>
      </c>
      <c r="D86" s="189">
        <v>11674.914421052632</v>
      </c>
      <c r="E86" s="189">
        <v>11674.868419999999</v>
      </c>
      <c r="F86" s="190">
        <f t="shared" si="8"/>
        <v>0.99999605983813034</v>
      </c>
      <c r="G86" s="682"/>
      <c r="H86" s="682"/>
      <c r="I86" s="682"/>
      <c r="J86" s="682"/>
      <c r="K86" s="649"/>
      <c r="L86" s="652"/>
      <c r="M86" s="655"/>
    </row>
    <row r="87" spans="1:13" s="208" customFormat="1" ht="41.25" customHeight="1" outlineLevel="1" x14ac:dyDescent="0.25">
      <c r="A87" s="783"/>
      <c r="B87" s="653"/>
      <c r="C87" s="448" t="s">
        <v>7</v>
      </c>
      <c r="D87" s="189">
        <v>11000</v>
      </c>
      <c r="E87" s="189">
        <v>0</v>
      </c>
      <c r="F87" s="190">
        <f t="shared" ref="F87" si="10">E87/D87</f>
        <v>0</v>
      </c>
      <c r="G87" s="785"/>
      <c r="H87" s="785"/>
      <c r="I87" s="785"/>
      <c r="J87" s="785"/>
      <c r="K87" s="650"/>
      <c r="L87" s="653"/>
      <c r="M87" s="656"/>
    </row>
    <row r="88" spans="1:13" ht="41.25" customHeight="1" outlineLevel="1" x14ac:dyDescent="0.25">
      <c r="A88" s="327" t="s">
        <v>18</v>
      </c>
      <c r="B88" s="209" t="s">
        <v>189</v>
      </c>
      <c r="C88" s="327" t="s">
        <v>4</v>
      </c>
      <c r="D88" s="189">
        <v>56948.595869999997</v>
      </c>
      <c r="E88" s="189">
        <v>55579.932139999997</v>
      </c>
      <c r="F88" s="190">
        <f t="shared" si="8"/>
        <v>0.97596668172250756</v>
      </c>
      <c r="G88" s="324">
        <f>SUM(H88:J88)</f>
        <v>1</v>
      </c>
      <c r="H88" s="324">
        <v>1</v>
      </c>
      <c r="I88" s="324">
        <v>0</v>
      </c>
      <c r="J88" s="324">
        <v>0</v>
      </c>
      <c r="K88" s="325">
        <f>(H88+I88/2)/G88</f>
        <v>1</v>
      </c>
      <c r="L88" s="323" t="s">
        <v>942</v>
      </c>
      <c r="M88" s="395" t="s">
        <v>41</v>
      </c>
    </row>
    <row r="89" spans="1:13" ht="22.5" customHeight="1" x14ac:dyDescent="0.25">
      <c r="A89" s="754" t="s">
        <v>19</v>
      </c>
      <c r="B89" s="760" t="s">
        <v>943</v>
      </c>
      <c r="C89" s="175" t="s">
        <v>3</v>
      </c>
      <c r="D89" s="176">
        <f>SUM(D90:D92)</f>
        <v>3120699.8900899999</v>
      </c>
      <c r="E89" s="176">
        <f>SUM(E90:E92)</f>
        <v>2796037.1917400002</v>
      </c>
      <c r="F89" s="406">
        <f>E89/D89</f>
        <v>0.89596478040679628</v>
      </c>
      <c r="G89" s="763">
        <f>SUM(G93:G107)</f>
        <v>90</v>
      </c>
      <c r="H89" s="763">
        <f>SUM(H93:H107)</f>
        <v>82</v>
      </c>
      <c r="I89" s="763">
        <f>SUM(I93:I107)</f>
        <v>5</v>
      </c>
      <c r="J89" s="763">
        <f>SUM(J93:J107)</f>
        <v>3</v>
      </c>
      <c r="K89" s="692">
        <f>(H89+I89/2)/G89</f>
        <v>0.93888888888888888</v>
      </c>
      <c r="L89" s="736" t="s">
        <v>1112</v>
      </c>
      <c r="M89" s="697"/>
    </row>
    <row r="90" spans="1:13" ht="22.5" customHeight="1" x14ac:dyDescent="0.25">
      <c r="A90" s="658"/>
      <c r="B90" s="761"/>
      <c r="C90" s="178" t="s">
        <v>4</v>
      </c>
      <c r="D90" s="179">
        <f>D94+D98+D102+D106</f>
        <v>2729055.32711</v>
      </c>
      <c r="E90" s="179">
        <f>E94+E98+E102+E106</f>
        <v>2496289.75496</v>
      </c>
      <c r="F90" s="405">
        <f t="shared" ref="F90:F145" si="11">E90/D90</f>
        <v>0.91470837185389986</v>
      </c>
      <c r="G90" s="664"/>
      <c r="H90" s="664"/>
      <c r="I90" s="664"/>
      <c r="J90" s="664"/>
      <c r="K90" s="667"/>
      <c r="L90" s="737"/>
      <c r="M90" s="698"/>
    </row>
    <row r="91" spans="1:13" ht="22.5" customHeight="1" x14ac:dyDescent="0.25">
      <c r="A91" s="658"/>
      <c r="B91" s="761"/>
      <c r="C91" s="178" t="s">
        <v>5</v>
      </c>
      <c r="D91" s="179">
        <f>D95+D99+D103+D107</f>
        <v>205366.49067999999</v>
      </c>
      <c r="E91" s="179">
        <f>E95+E99+E103+E107</f>
        <v>204344.03857999999</v>
      </c>
      <c r="F91" s="405">
        <f t="shared" si="11"/>
        <v>0.9950213294456437</v>
      </c>
      <c r="G91" s="664"/>
      <c r="H91" s="664"/>
      <c r="I91" s="664"/>
      <c r="J91" s="664"/>
      <c r="K91" s="667"/>
      <c r="L91" s="737"/>
      <c r="M91" s="698"/>
    </row>
    <row r="92" spans="1:13" ht="22.5" customHeight="1" x14ac:dyDescent="0.25">
      <c r="A92" s="786"/>
      <c r="B92" s="762"/>
      <c r="C92" s="178" t="s">
        <v>6</v>
      </c>
      <c r="D92" s="179">
        <f>D96+D100+D104</f>
        <v>186278.0723</v>
      </c>
      <c r="E92" s="179">
        <f>E96+E100+E104</f>
        <v>95403.398200000011</v>
      </c>
      <c r="F92" s="405">
        <f t="shared" si="11"/>
        <v>0.51215581642026697</v>
      </c>
      <c r="G92" s="764"/>
      <c r="H92" s="764"/>
      <c r="I92" s="764"/>
      <c r="J92" s="764"/>
      <c r="K92" s="765"/>
      <c r="L92" s="738"/>
      <c r="M92" s="699"/>
    </row>
    <row r="93" spans="1:13" ht="32.25" customHeight="1" outlineLevel="1" x14ac:dyDescent="0.25">
      <c r="A93" s="675" t="s">
        <v>20</v>
      </c>
      <c r="B93" s="678" t="s">
        <v>191</v>
      </c>
      <c r="C93" s="327" t="s">
        <v>3</v>
      </c>
      <c r="D93" s="189">
        <f>SUM(D94:D96)</f>
        <v>633523.64009</v>
      </c>
      <c r="E93" s="189">
        <f>SUM(E94:E96)</f>
        <v>526278.95076000004</v>
      </c>
      <c r="F93" s="190">
        <f t="shared" si="11"/>
        <v>0.83071714685380249</v>
      </c>
      <c r="G93" s="681">
        <f>SUM(H93:J96)</f>
        <v>24</v>
      </c>
      <c r="H93" s="681">
        <v>20</v>
      </c>
      <c r="I93" s="681">
        <v>1</v>
      </c>
      <c r="J93" s="681">
        <v>3</v>
      </c>
      <c r="K93" s="684">
        <f>(H93+0.5*I93)/G93</f>
        <v>0.85416666666666663</v>
      </c>
      <c r="L93" s="678" t="s">
        <v>1113</v>
      </c>
      <c r="M93" s="693" t="s">
        <v>1839</v>
      </c>
    </row>
    <row r="94" spans="1:13" ht="32.25" customHeight="1" outlineLevel="1" x14ac:dyDescent="0.25">
      <c r="A94" s="676"/>
      <c r="B94" s="679"/>
      <c r="C94" s="327" t="s">
        <v>4</v>
      </c>
      <c r="D94" s="189">
        <v>613744.77093</v>
      </c>
      <c r="E94" s="189">
        <v>506500.08159999998</v>
      </c>
      <c r="F94" s="190">
        <f t="shared" si="11"/>
        <v>0.82526174656039275</v>
      </c>
      <c r="G94" s="682"/>
      <c r="H94" s="682"/>
      <c r="I94" s="682"/>
      <c r="J94" s="682"/>
      <c r="K94" s="649"/>
      <c r="L94" s="679"/>
      <c r="M94" s="652"/>
    </row>
    <row r="95" spans="1:13" ht="32.25" customHeight="1" outlineLevel="1" x14ac:dyDescent="0.25">
      <c r="A95" s="676"/>
      <c r="B95" s="679"/>
      <c r="C95" s="372" t="s">
        <v>5</v>
      </c>
      <c r="D95" s="189">
        <v>19464.599999999999</v>
      </c>
      <c r="E95" s="189">
        <v>19464.599999999999</v>
      </c>
      <c r="F95" s="190">
        <f t="shared" si="11"/>
        <v>1</v>
      </c>
      <c r="G95" s="682"/>
      <c r="H95" s="682"/>
      <c r="I95" s="682"/>
      <c r="J95" s="682"/>
      <c r="K95" s="649"/>
      <c r="L95" s="679"/>
      <c r="M95" s="652"/>
    </row>
    <row r="96" spans="1:13" ht="32.25" customHeight="1" outlineLevel="1" x14ac:dyDescent="0.25">
      <c r="A96" s="677"/>
      <c r="B96" s="680"/>
      <c r="C96" s="327" t="s">
        <v>6</v>
      </c>
      <c r="D96" s="189">
        <v>314.26915999999994</v>
      </c>
      <c r="E96" s="189">
        <v>314.26915999999994</v>
      </c>
      <c r="F96" s="190">
        <f t="shared" si="11"/>
        <v>1</v>
      </c>
      <c r="G96" s="683"/>
      <c r="H96" s="683"/>
      <c r="I96" s="683"/>
      <c r="J96" s="683"/>
      <c r="K96" s="685"/>
      <c r="L96" s="680"/>
      <c r="M96" s="787"/>
    </row>
    <row r="97" spans="1:13" ht="30.75" customHeight="1" outlineLevel="1" x14ac:dyDescent="0.25">
      <c r="A97" s="675" t="s">
        <v>21</v>
      </c>
      <c r="B97" s="678" t="s">
        <v>1115</v>
      </c>
      <c r="C97" s="445" t="s">
        <v>3</v>
      </c>
      <c r="D97" s="189">
        <f>SUM(D98:D100)</f>
        <v>344196.98374999996</v>
      </c>
      <c r="E97" s="189">
        <f>SUM(E98:E100)</f>
        <v>331062.90156999999</v>
      </c>
      <c r="F97" s="190">
        <f t="shared" si="11"/>
        <v>0.96184137920993629</v>
      </c>
      <c r="G97" s="681">
        <f>SUM(H97:J100)</f>
        <v>14</v>
      </c>
      <c r="H97" s="681">
        <v>13</v>
      </c>
      <c r="I97" s="681">
        <v>1</v>
      </c>
      <c r="J97" s="681">
        <v>0</v>
      </c>
      <c r="K97" s="684">
        <f>(H97+0.5*I97)/G97</f>
        <v>0.9642857142857143</v>
      </c>
      <c r="L97" s="788" t="s">
        <v>1114</v>
      </c>
      <c r="M97" s="675" t="s">
        <v>41</v>
      </c>
    </row>
    <row r="98" spans="1:13" ht="30.75" customHeight="1" outlineLevel="1" x14ac:dyDescent="0.25">
      <c r="A98" s="676"/>
      <c r="B98" s="679"/>
      <c r="C98" s="445" t="s">
        <v>4</v>
      </c>
      <c r="D98" s="189">
        <v>311019.21930999996</v>
      </c>
      <c r="E98" s="189">
        <v>297885.13712999999</v>
      </c>
      <c r="F98" s="190">
        <f t="shared" si="11"/>
        <v>0.95777083419751974</v>
      </c>
      <c r="G98" s="682"/>
      <c r="H98" s="682"/>
      <c r="I98" s="682"/>
      <c r="J98" s="682"/>
      <c r="K98" s="649"/>
      <c r="L98" s="789"/>
      <c r="M98" s="676"/>
    </row>
    <row r="99" spans="1:13" ht="30.75" customHeight="1" outlineLevel="1" x14ac:dyDescent="0.25">
      <c r="A99" s="676"/>
      <c r="B99" s="679"/>
      <c r="C99" s="445" t="s">
        <v>5</v>
      </c>
      <c r="D99" s="189">
        <v>31206.799999999999</v>
      </c>
      <c r="E99" s="189">
        <v>31206.799999999999</v>
      </c>
      <c r="F99" s="190">
        <f>E99/D99</f>
        <v>1</v>
      </c>
      <c r="G99" s="682"/>
      <c r="H99" s="682"/>
      <c r="I99" s="682"/>
      <c r="J99" s="682"/>
      <c r="K99" s="649"/>
      <c r="L99" s="789"/>
      <c r="M99" s="676"/>
    </row>
    <row r="100" spans="1:13" ht="30.75" customHeight="1" outlineLevel="1" x14ac:dyDescent="0.25">
      <c r="A100" s="677"/>
      <c r="B100" s="680"/>
      <c r="C100" s="445" t="s">
        <v>6</v>
      </c>
      <c r="D100" s="189">
        <v>1970.9644400000002</v>
      </c>
      <c r="E100" s="189">
        <v>1970.9644400000002</v>
      </c>
      <c r="F100" s="190">
        <f>E100/D100</f>
        <v>1</v>
      </c>
      <c r="G100" s="683"/>
      <c r="H100" s="683"/>
      <c r="I100" s="683"/>
      <c r="J100" s="683"/>
      <c r="K100" s="685"/>
      <c r="L100" s="790"/>
      <c r="M100" s="677"/>
    </row>
    <row r="101" spans="1:13" ht="32.25" customHeight="1" outlineLevel="1" x14ac:dyDescent="0.25">
      <c r="A101" s="675" t="s">
        <v>22</v>
      </c>
      <c r="B101" s="678" t="s">
        <v>1116</v>
      </c>
      <c r="C101" s="327" t="s">
        <v>3</v>
      </c>
      <c r="D101" s="189">
        <f>SUM(D102:D104)</f>
        <v>1832197.0963600001</v>
      </c>
      <c r="E101" s="189">
        <f>SUM(E102:E104)</f>
        <v>1632107.12711</v>
      </c>
      <c r="F101" s="190">
        <f t="shared" si="11"/>
        <v>0.89079233361546306</v>
      </c>
      <c r="G101" s="681">
        <f>SUM(H101:J104)</f>
        <v>46</v>
      </c>
      <c r="H101" s="681">
        <v>43</v>
      </c>
      <c r="I101" s="681">
        <v>3</v>
      </c>
      <c r="J101" s="681">
        <v>0</v>
      </c>
      <c r="K101" s="684">
        <f>(H101+0.5*I101)/G101</f>
        <v>0.96739130434782605</v>
      </c>
      <c r="L101" s="788" t="s">
        <v>1114</v>
      </c>
      <c r="M101" s="693" t="s">
        <v>1844</v>
      </c>
    </row>
    <row r="102" spans="1:13" ht="32.25" customHeight="1" outlineLevel="1" x14ac:dyDescent="0.25">
      <c r="A102" s="676"/>
      <c r="B102" s="679"/>
      <c r="C102" s="327" t="s">
        <v>4</v>
      </c>
      <c r="D102" s="189">
        <v>1493816.5669800001</v>
      </c>
      <c r="E102" s="189">
        <v>1385623.7239300001</v>
      </c>
      <c r="F102" s="190">
        <f t="shared" si="11"/>
        <v>0.92757287243859532</v>
      </c>
      <c r="G102" s="682"/>
      <c r="H102" s="682"/>
      <c r="I102" s="682"/>
      <c r="J102" s="682"/>
      <c r="K102" s="649"/>
      <c r="L102" s="789"/>
      <c r="M102" s="652"/>
    </row>
    <row r="103" spans="1:13" ht="32.25" customHeight="1" outlineLevel="1" x14ac:dyDescent="0.25">
      <c r="A103" s="676"/>
      <c r="B103" s="679"/>
      <c r="C103" s="327" t="s">
        <v>5</v>
      </c>
      <c r="D103" s="189">
        <v>154387.69068</v>
      </c>
      <c r="E103" s="189">
        <v>153365.23858</v>
      </c>
      <c r="F103" s="190">
        <f>E103/D103</f>
        <v>0.99337737292722883</v>
      </c>
      <c r="G103" s="682"/>
      <c r="H103" s="682"/>
      <c r="I103" s="682"/>
      <c r="J103" s="682"/>
      <c r="K103" s="649"/>
      <c r="L103" s="789"/>
      <c r="M103" s="652"/>
    </row>
    <row r="104" spans="1:13" ht="32.25" customHeight="1" outlineLevel="1" x14ac:dyDescent="0.25">
      <c r="A104" s="677"/>
      <c r="B104" s="680"/>
      <c r="C104" s="327" t="s">
        <v>6</v>
      </c>
      <c r="D104" s="189">
        <v>183992.83869999999</v>
      </c>
      <c r="E104" s="189">
        <v>93118.164600000004</v>
      </c>
      <c r="F104" s="190">
        <f>E104/D104</f>
        <v>0.50609667885949094</v>
      </c>
      <c r="G104" s="683"/>
      <c r="H104" s="683"/>
      <c r="I104" s="683"/>
      <c r="J104" s="683"/>
      <c r="K104" s="685"/>
      <c r="L104" s="790"/>
      <c r="M104" s="787"/>
    </row>
    <row r="105" spans="1:13" ht="26.25" customHeight="1" outlineLevel="1" x14ac:dyDescent="0.25">
      <c r="A105" s="675" t="s">
        <v>23</v>
      </c>
      <c r="B105" s="678" t="s">
        <v>189</v>
      </c>
      <c r="C105" s="327" t="s">
        <v>3</v>
      </c>
      <c r="D105" s="189">
        <f>SUM(D106:D107)</f>
        <v>310782.16989000002</v>
      </c>
      <c r="E105" s="189">
        <f>SUM(E106:E107)</f>
        <v>306588.21230000001</v>
      </c>
      <c r="F105" s="190">
        <f t="shared" si="11"/>
        <v>0.98650515378187742</v>
      </c>
      <c r="G105" s="681">
        <f>SUM(H105:J107)</f>
        <v>6</v>
      </c>
      <c r="H105" s="681">
        <v>6</v>
      </c>
      <c r="I105" s="681">
        <v>0</v>
      </c>
      <c r="J105" s="681">
        <v>0</v>
      </c>
      <c r="K105" s="684">
        <f>(H105+0.5*I105)/G105</f>
        <v>1</v>
      </c>
      <c r="L105" s="678" t="s">
        <v>1045</v>
      </c>
      <c r="M105" s="675" t="s">
        <v>41</v>
      </c>
    </row>
    <row r="106" spans="1:13" ht="26.25" customHeight="1" outlineLevel="1" x14ac:dyDescent="0.25">
      <c r="A106" s="676"/>
      <c r="B106" s="679"/>
      <c r="C106" s="327" t="s">
        <v>4</v>
      </c>
      <c r="D106" s="189">
        <v>310474.76989</v>
      </c>
      <c r="E106" s="189">
        <v>306280.81229999999</v>
      </c>
      <c r="F106" s="190">
        <f t="shared" si="11"/>
        <v>0.98649179258113018</v>
      </c>
      <c r="G106" s="682"/>
      <c r="H106" s="682"/>
      <c r="I106" s="682"/>
      <c r="J106" s="682"/>
      <c r="K106" s="649"/>
      <c r="L106" s="679"/>
      <c r="M106" s="676"/>
    </row>
    <row r="107" spans="1:13" ht="26.25" customHeight="1" outlineLevel="1" x14ac:dyDescent="0.25">
      <c r="A107" s="676"/>
      <c r="B107" s="679"/>
      <c r="C107" s="327" t="s">
        <v>5</v>
      </c>
      <c r="D107" s="189">
        <v>307.40000000000003</v>
      </c>
      <c r="E107" s="189">
        <v>307.39999999999998</v>
      </c>
      <c r="F107" s="190">
        <f t="shared" si="11"/>
        <v>0.99999999999999978</v>
      </c>
      <c r="G107" s="682"/>
      <c r="H107" s="682"/>
      <c r="I107" s="682"/>
      <c r="J107" s="682"/>
      <c r="K107" s="649"/>
      <c r="L107" s="679"/>
      <c r="M107" s="676"/>
    </row>
    <row r="108" spans="1:13" ht="21.75" customHeight="1" x14ac:dyDescent="0.25">
      <c r="A108" s="754" t="s">
        <v>45</v>
      </c>
      <c r="B108" s="791" t="s">
        <v>1020</v>
      </c>
      <c r="C108" s="175" t="s">
        <v>3</v>
      </c>
      <c r="D108" s="176">
        <f>SUM(D109:D111)</f>
        <v>1015215.8999999999</v>
      </c>
      <c r="E108" s="176">
        <f>SUM(E109:E111)</f>
        <v>1080575.5970000001</v>
      </c>
      <c r="F108" s="406">
        <f t="shared" si="11"/>
        <v>1.0643800958988134</v>
      </c>
      <c r="G108" s="763">
        <f>SUM(G112:G120)</f>
        <v>17</v>
      </c>
      <c r="H108" s="763">
        <f>SUM(H112:H120)</f>
        <v>15</v>
      </c>
      <c r="I108" s="763">
        <f>SUM(I112:I120)</f>
        <v>2</v>
      </c>
      <c r="J108" s="763">
        <f>SUM(J112:J120)</f>
        <v>0</v>
      </c>
      <c r="K108" s="692">
        <f>(H108+I108/2)/G108</f>
        <v>0.94117647058823528</v>
      </c>
      <c r="L108" s="793" t="s">
        <v>1234</v>
      </c>
      <c r="M108" s="697"/>
    </row>
    <row r="109" spans="1:13" ht="21.75" customHeight="1" x14ac:dyDescent="0.25">
      <c r="A109" s="658"/>
      <c r="B109" s="661"/>
      <c r="C109" s="178" t="s">
        <v>4</v>
      </c>
      <c r="D109" s="179">
        <f>D113+D116+D119</f>
        <v>732389.2</v>
      </c>
      <c r="E109" s="179">
        <f>E113+E116+E119</f>
        <v>724414.92700000003</v>
      </c>
      <c r="F109" s="405">
        <f t="shared" si="11"/>
        <v>0.98911197352445945</v>
      </c>
      <c r="G109" s="664"/>
      <c r="H109" s="664"/>
      <c r="I109" s="664"/>
      <c r="J109" s="664"/>
      <c r="K109" s="667"/>
      <c r="L109" s="794"/>
      <c r="M109" s="698"/>
    </row>
    <row r="110" spans="1:13" ht="21.75" customHeight="1" x14ac:dyDescent="0.25">
      <c r="A110" s="658"/>
      <c r="B110" s="661"/>
      <c r="C110" s="178" t="s">
        <v>5</v>
      </c>
      <c r="D110" s="179">
        <f>D114+D117</f>
        <v>232826.69999999998</v>
      </c>
      <c r="E110" s="179">
        <f>E114+E117</f>
        <v>230850.32</v>
      </c>
      <c r="F110" s="405">
        <f t="shared" si="11"/>
        <v>0.99151136875624668</v>
      </c>
      <c r="G110" s="664"/>
      <c r="H110" s="664"/>
      <c r="I110" s="664"/>
      <c r="J110" s="664"/>
      <c r="K110" s="667"/>
      <c r="L110" s="794"/>
      <c r="M110" s="698"/>
    </row>
    <row r="111" spans="1:13" ht="21.75" customHeight="1" x14ac:dyDescent="0.25">
      <c r="A111" s="786"/>
      <c r="B111" s="792"/>
      <c r="C111" s="178" t="s">
        <v>7</v>
      </c>
      <c r="D111" s="179">
        <f>SUM(D120)</f>
        <v>50000</v>
      </c>
      <c r="E111" s="179">
        <f>SUM(E120)</f>
        <v>125310.35</v>
      </c>
      <c r="F111" s="405">
        <f t="shared" si="11"/>
        <v>2.5062070000000003</v>
      </c>
      <c r="G111" s="764"/>
      <c r="H111" s="764"/>
      <c r="I111" s="764"/>
      <c r="J111" s="764"/>
      <c r="K111" s="765"/>
      <c r="L111" s="795"/>
      <c r="M111" s="699"/>
    </row>
    <row r="112" spans="1:13" s="208" customFormat="1" ht="21.75" customHeight="1" outlineLevel="1" x14ac:dyDescent="0.25">
      <c r="A112" s="675" t="s">
        <v>24</v>
      </c>
      <c r="B112" s="678" t="s">
        <v>1052</v>
      </c>
      <c r="C112" s="327" t="s">
        <v>3</v>
      </c>
      <c r="D112" s="207">
        <f>SUM(D113:D114)</f>
        <v>963606.60000000009</v>
      </c>
      <c r="E112" s="207">
        <f>SUM(E113:E114)</f>
        <v>953805.96499999997</v>
      </c>
      <c r="F112" s="190">
        <f>E112/D112</f>
        <v>0.98982921557407333</v>
      </c>
      <c r="G112" s="681">
        <f>SUM(H112:J114)</f>
        <v>11</v>
      </c>
      <c r="H112" s="681">
        <v>10</v>
      </c>
      <c r="I112" s="681">
        <v>1</v>
      </c>
      <c r="J112" s="681">
        <v>0</v>
      </c>
      <c r="K112" s="684">
        <f>(H112+0.5*I112)/G112</f>
        <v>0.95454545454545459</v>
      </c>
      <c r="L112" s="678" t="s">
        <v>1232</v>
      </c>
      <c r="M112" s="675" t="s">
        <v>41</v>
      </c>
    </row>
    <row r="113" spans="1:13" s="208" customFormat="1" ht="21.75" customHeight="1" outlineLevel="1" x14ac:dyDescent="0.25">
      <c r="A113" s="676"/>
      <c r="B113" s="679"/>
      <c r="C113" s="327" t="s">
        <v>4</v>
      </c>
      <c r="D113" s="207">
        <v>731482.8</v>
      </c>
      <c r="E113" s="207">
        <v>723563.245</v>
      </c>
      <c r="F113" s="190">
        <f>E113/D113</f>
        <v>0.98917328609777289</v>
      </c>
      <c r="G113" s="682"/>
      <c r="H113" s="682"/>
      <c r="I113" s="682"/>
      <c r="J113" s="682"/>
      <c r="K113" s="649"/>
      <c r="L113" s="679"/>
      <c r="M113" s="676"/>
    </row>
    <row r="114" spans="1:13" s="208" customFormat="1" ht="21.75" customHeight="1" outlineLevel="1" x14ac:dyDescent="0.25">
      <c r="A114" s="677"/>
      <c r="B114" s="680"/>
      <c r="C114" s="327" t="s">
        <v>5</v>
      </c>
      <c r="D114" s="207">
        <v>232123.8</v>
      </c>
      <c r="E114" s="207">
        <v>230242.72</v>
      </c>
      <c r="F114" s="190">
        <f>E114/D114</f>
        <v>0.99189622089591856</v>
      </c>
      <c r="G114" s="683"/>
      <c r="H114" s="683"/>
      <c r="I114" s="683"/>
      <c r="J114" s="683"/>
      <c r="K114" s="685"/>
      <c r="L114" s="680"/>
      <c r="M114" s="677"/>
    </row>
    <row r="115" spans="1:13" s="208" customFormat="1" ht="24" customHeight="1" outlineLevel="1" x14ac:dyDescent="0.25">
      <c r="A115" s="675" t="s">
        <v>25</v>
      </c>
      <c r="B115" s="678" t="s">
        <v>1053</v>
      </c>
      <c r="C115" s="327" t="s">
        <v>3</v>
      </c>
      <c r="D115" s="207">
        <f>SUM(D116:D117)</f>
        <v>1240.5999999999999</v>
      </c>
      <c r="E115" s="207">
        <f>SUM(E116:E117)</f>
        <v>1091.26</v>
      </c>
      <c r="F115" s="190">
        <f t="shared" si="11"/>
        <v>0.87962276317910693</v>
      </c>
      <c r="G115" s="681">
        <f>SUM(H115:J117)</f>
        <v>2</v>
      </c>
      <c r="H115" s="681">
        <v>1</v>
      </c>
      <c r="I115" s="681">
        <v>1</v>
      </c>
      <c r="J115" s="681">
        <v>0</v>
      </c>
      <c r="K115" s="684">
        <f>(H115+0.5*I115)/G115</f>
        <v>0.75</v>
      </c>
      <c r="L115" s="678" t="s">
        <v>1050</v>
      </c>
      <c r="M115" s="678" t="s">
        <v>1233</v>
      </c>
    </row>
    <row r="116" spans="1:13" s="208" customFormat="1" ht="24" customHeight="1" outlineLevel="1" x14ac:dyDescent="0.25">
      <c r="A116" s="676"/>
      <c r="B116" s="679"/>
      <c r="C116" s="327" t="s">
        <v>4</v>
      </c>
      <c r="D116" s="207">
        <v>537.70000000000005</v>
      </c>
      <c r="E116" s="207">
        <v>483.65999999999997</v>
      </c>
      <c r="F116" s="190">
        <f t="shared" si="11"/>
        <v>0.89949786126092601</v>
      </c>
      <c r="G116" s="682"/>
      <c r="H116" s="682"/>
      <c r="I116" s="682"/>
      <c r="J116" s="682"/>
      <c r="K116" s="649"/>
      <c r="L116" s="679"/>
      <c r="M116" s="679"/>
    </row>
    <row r="117" spans="1:13" s="208" customFormat="1" ht="15.75" outlineLevel="1" x14ac:dyDescent="0.25">
      <c r="A117" s="677"/>
      <c r="B117" s="680"/>
      <c r="C117" s="327" t="s">
        <v>5</v>
      </c>
      <c r="D117" s="207">
        <v>702.9</v>
      </c>
      <c r="E117" s="207">
        <v>607.6</v>
      </c>
      <c r="F117" s="190">
        <f t="shared" si="11"/>
        <v>0.86441883624982219</v>
      </c>
      <c r="G117" s="683"/>
      <c r="H117" s="683"/>
      <c r="I117" s="683"/>
      <c r="J117" s="683"/>
      <c r="K117" s="685"/>
      <c r="L117" s="680"/>
      <c r="M117" s="680"/>
    </row>
    <row r="118" spans="1:13" s="208" customFormat="1" ht="21.75" customHeight="1" outlineLevel="1" x14ac:dyDescent="0.25">
      <c r="A118" s="675" t="s">
        <v>26</v>
      </c>
      <c r="B118" s="678" t="s">
        <v>1054</v>
      </c>
      <c r="C118" s="327" t="s">
        <v>3</v>
      </c>
      <c r="D118" s="207">
        <f>SUM(D119:D120)</f>
        <v>50368.7</v>
      </c>
      <c r="E118" s="207">
        <f>SUM(E119:E120)</f>
        <v>125678.372</v>
      </c>
      <c r="F118" s="190">
        <f t="shared" si="11"/>
        <v>2.4951680706470487</v>
      </c>
      <c r="G118" s="681">
        <f>SUM(H118:J120)</f>
        <v>4</v>
      </c>
      <c r="H118" s="681">
        <v>4</v>
      </c>
      <c r="I118" s="681">
        <v>0</v>
      </c>
      <c r="J118" s="681">
        <v>0</v>
      </c>
      <c r="K118" s="684">
        <f>(H118+0.5*I118)/G118</f>
        <v>1</v>
      </c>
      <c r="L118" s="678" t="s">
        <v>1051</v>
      </c>
      <c r="M118" s="788" t="s">
        <v>1235</v>
      </c>
    </row>
    <row r="119" spans="1:13" s="208" customFormat="1" ht="21.75" customHeight="1" outlineLevel="1" x14ac:dyDescent="0.25">
      <c r="A119" s="676"/>
      <c r="B119" s="679"/>
      <c r="C119" s="327" t="s">
        <v>4</v>
      </c>
      <c r="D119" s="207">
        <v>368.7</v>
      </c>
      <c r="E119" s="207">
        <v>368.02199999999999</v>
      </c>
      <c r="F119" s="190">
        <f t="shared" si="11"/>
        <v>0.99816110659072421</v>
      </c>
      <c r="G119" s="682"/>
      <c r="H119" s="682"/>
      <c r="I119" s="682"/>
      <c r="J119" s="682"/>
      <c r="K119" s="649"/>
      <c r="L119" s="679"/>
      <c r="M119" s="789"/>
    </row>
    <row r="120" spans="1:13" s="208" customFormat="1" ht="21.75" customHeight="1" outlineLevel="1" x14ac:dyDescent="0.25">
      <c r="A120" s="677"/>
      <c r="B120" s="680"/>
      <c r="C120" s="327" t="s">
        <v>7</v>
      </c>
      <c r="D120" s="207">
        <v>50000</v>
      </c>
      <c r="E120" s="207">
        <v>125310.35</v>
      </c>
      <c r="F120" s="190">
        <f t="shared" si="11"/>
        <v>2.5062070000000003</v>
      </c>
      <c r="G120" s="683"/>
      <c r="H120" s="683"/>
      <c r="I120" s="683"/>
      <c r="J120" s="683"/>
      <c r="K120" s="685"/>
      <c r="L120" s="680"/>
      <c r="M120" s="790"/>
    </row>
    <row r="121" spans="1:13" ht="22.5" customHeight="1" x14ac:dyDescent="0.25">
      <c r="A121" s="754" t="s">
        <v>27</v>
      </c>
      <c r="B121" s="716" t="s">
        <v>1021</v>
      </c>
      <c r="C121" s="175" t="s">
        <v>3</v>
      </c>
      <c r="D121" s="176">
        <f>SUM(D122:D125)</f>
        <v>36637985.025180005</v>
      </c>
      <c r="E121" s="176">
        <f>SUM(E122:E125)</f>
        <v>32147458.129764538</v>
      </c>
      <c r="F121" s="406">
        <f t="shared" si="11"/>
        <v>0.8774352112342072</v>
      </c>
      <c r="G121" s="763">
        <f>SUM(G126:G145)</f>
        <v>95</v>
      </c>
      <c r="H121" s="763">
        <f>SUM(H126:H145)</f>
        <v>59</v>
      </c>
      <c r="I121" s="763">
        <f>SUM(I126:I145)</f>
        <v>26</v>
      </c>
      <c r="J121" s="763">
        <f>SUM(J126:J145)</f>
        <v>10</v>
      </c>
      <c r="K121" s="692">
        <f>(H121+I121/2)/G121</f>
        <v>0.75789473684210529</v>
      </c>
      <c r="L121" s="793" t="s">
        <v>1111</v>
      </c>
      <c r="M121" s="697"/>
    </row>
    <row r="122" spans="1:13" ht="22.5" customHeight="1" x14ac:dyDescent="0.25">
      <c r="A122" s="658"/>
      <c r="B122" s="717"/>
      <c r="C122" s="178" t="s">
        <v>4</v>
      </c>
      <c r="D122" s="179">
        <f>D127+D132+D136+D140+D145</f>
        <v>23080763.759959999</v>
      </c>
      <c r="E122" s="179">
        <f>E127+E132+E136+E140+E145</f>
        <v>20223979.959943999</v>
      </c>
      <c r="F122" s="405">
        <f t="shared" si="11"/>
        <v>0.87622663488407226</v>
      </c>
      <c r="G122" s="664"/>
      <c r="H122" s="664"/>
      <c r="I122" s="664"/>
      <c r="J122" s="664"/>
      <c r="K122" s="667"/>
      <c r="L122" s="794"/>
      <c r="M122" s="698"/>
    </row>
    <row r="123" spans="1:13" ht="22.5" customHeight="1" x14ac:dyDescent="0.25">
      <c r="A123" s="658"/>
      <c r="B123" s="717"/>
      <c r="C123" s="178" t="s">
        <v>5</v>
      </c>
      <c r="D123" s="179">
        <f>D128+D133+D137+D141</f>
        <v>12337885.031539999</v>
      </c>
      <c r="E123" s="179">
        <f>E128+E133+E137+E141</f>
        <v>10857141.99154</v>
      </c>
      <c r="F123" s="405">
        <f t="shared" si="11"/>
        <v>0.87998404619473303</v>
      </c>
      <c r="G123" s="664"/>
      <c r="H123" s="664"/>
      <c r="I123" s="664"/>
      <c r="J123" s="664"/>
      <c r="K123" s="667"/>
      <c r="L123" s="794"/>
      <c r="M123" s="698"/>
    </row>
    <row r="124" spans="1:13" ht="22.5" customHeight="1" x14ac:dyDescent="0.25">
      <c r="A124" s="658"/>
      <c r="B124" s="717"/>
      <c r="C124" s="178" t="s">
        <v>6</v>
      </c>
      <c r="D124" s="179">
        <f>D129+D134+D138+D142</f>
        <v>961602.09367999993</v>
      </c>
      <c r="E124" s="179">
        <f>E129+E134+E138+E142</f>
        <v>876417.87828054</v>
      </c>
      <c r="F124" s="405">
        <f t="shared" si="11"/>
        <v>0.91141427835970645</v>
      </c>
      <c r="G124" s="664"/>
      <c r="H124" s="664"/>
      <c r="I124" s="664"/>
      <c r="J124" s="664"/>
      <c r="K124" s="667"/>
      <c r="L124" s="794"/>
      <c r="M124" s="698"/>
    </row>
    <row r="125" spans="1:13" ht="22.5" customHeight="1" x14ac:dyDescent="0.25">
      <c r="A125" s="786"/>
      <c r="B125" s="718"/>
      <c r="C125" s="178" t="s">
        <v>7</v>
      </c>
      <c r="D125" s="179">
        <f>D130+D143</f>
        <v>257734.13999999998</v>
      </c>
      <c r="E125" s="179">
        <f>E130+E143</f>
        <v>189918.30000000002</v>
      </c>
      <c r="F125" s="405">
        <f t="shared" si="11"/>
        <v>0.73687676766454002</v>
      </c>
      <c r="G125" s="764"/>
      <c r="H125" s="764"/>
      <c r="I125" s="764"/>
      <c r="J125" s="764"/>
      <c r="K125" s="765"/>
      <c r="L125" s="795"/>
      <c r="M125" s="699"/>
    </row>
    <row r="126" spans="1:13" ht="27.75" customHeight="1" outlineLevel="1" x14ac:dyDescent="0.25">
      <c r="A126" s="675" t="s">
        <v>28</v>
      </c>
      <c r="B126" s="678" t="s">
        <v>1102</v>
      </c>
      <c r="C126" s="327" t="s">
        <v>3</v>
      </c>
      <c r="D126" s="189">
        <f>SUM(D127:D130)</f>
        <v>7945317.1049500005</v>
      </c>
      <c r="E126" s="189">
        <f>SUM(E127:E130)</f>
        <v>5408918.1609840011</v>
      </c>
      <c r="F126" s="190">
        <f t="shared" si="11"/>
        <v>0.68076806621276309</v>
      </c>
      <c r="G126" s="681">
        <f>SUM(H126:J130)</f>
        <v>20</v>
      </c>
      <c r="H126" s="681">
        <v>13</v>
      </c>
      <c r="I126" s="681">
        <v>5</v>
      </c>
      <c r="J126" s="681">
        <v>2</v>
      </c>
      <c r="K126" s="684">
        <f>(H126+I126/2)/G126</f>
        <v>0.77500000000000002</v>
      </c>
      <c r="L126" s="678" t="s">
        <v>1110</v>
      </c>
      <c r="M126" s="678" t="s">
        <v>1977</v>
      </c>
    </row>
    <row r="127" spans="1:13" ht="27.75" customHeight="1" outlineLevel="1" x14ac:dyDescent="0.25">
      <c r="A127" s="676"/>
      <c r="B127" s="679"/>
      <c r="C127" s="327" t="s">
        <v>4</v>
      </c>
      <c r="D127" s="189">
        <v>4260936.9299699999</v>
      </c>
      <c r="E127" s="189">
        <v>3225584.2611740003</v>
      </c>
      <c r="F127" s="190">
        <f t="shared" si="11"/>
        <v>0.75701290917645914</v>
      </c>
      <c r="G127" s="682"/>
      <c r="H127" s="682"/>
      <c r="I127" s="682"/>
      <c r="J127" s="682"/>
      <c r="K127" s="649"/>
      <c r="L127" s="679"/>
      <c r="M127" s="679"/>
    </row>
    <row r="128" spans="1:13" ht="34.5" customHeight="1" outlineLevel="1" x14ac:dyDescent="0.25">
      <c r="A128" s="676"/>
      <c r="B128" s="679"/>
      <c r="C128" s="327" t="s">
        <v>5</v>
      </c>
      <c r="D128" s="189">
        <v>3204938.2</v>
      </c>
      <c r="E128" s="189">
        <v>1807347.2599999998</v>
      </c>
      <c r="F128" s="190">
        <f t="shared" si="11"/>
        <v>0.56392577554225531</v>
      </c>
      <c r="G128" s="682"/>
      <c r="H128" s="682"/>
      <c r="I128" s="682"/>
      <c r="J128" s="682"/>
      <c r="K128" s="649"/>
      <c r="L128" s="679"/>
      <c r="M128" s="679"/>
    </row>
    <row r="129" spans="1:13" ht="27.75" customHeight="1" outlineLevel="1" x14ac:dyDescent="0.25">
      <c r="A129" s="676"/>
      <c r="B129" s="679"/>
      <c r="C129" s="327" t="s">
        <v>6</v>
      </c>
      <c r="D129" s="189">
        <v>292441.97498</v>
      </c>
      <c r="E129" s="189">
        <v>205208.93981000001</v>
      </c>
      <c r="F129" s="190">
        <f t="shared" si="11"/>
        <v>0.70170822715868397</v>
      </c>
      <c r="G129" s="682"/>
      <c r="H129" s="682"/>
      <c r="I129" s="682"/>
      <c r="J129" s="682"/>
      <c r="K129" s="649"/>
      <c r="L129" s="679"/>
      <c r="M129" s="679"/>
    </row>
    <row r="130" spans="1:13" ht="27.75" customHeight="1" outlineLevel="1" x14ac:dyDescent="0.25">
      <c r="A130" s="677"/>
      <c r="B130" s="680"/>
      <c r="C130" s="327" t="s">
        <v>7</v>
      </c>
      <c r="D130" s="189">
        <v>187000</v>
      </c>
      <c r="E130" s="189">
        <v>170777.7</v>
      </c>
      <c r="F130" s="190">
        <f t="shared" si="11"/>
        <v>0.91324973262032094</v>
      </c>
      <c r="G130" s="683"/>
      <c r="H130" s="683"/>
      <c r="I130" s="683"/>
      <c r="J130" s="683"/>
      <c r="K130" s="685"/>
      <c r="L130" s="680"/>
      <c r="M130" s="680"/>
    </row>
    <row r="131" spans="1:13" ht="33" customHeight="1" outlineLevel="1" x14ac:dyDescent="0.25">
      <c r="A131" s="675" t="s">
        <v>29</v>
      </c>
      <c r="B131" s="678" t="s">
        <v>1104</v>
      </c>
      <c r="C131" s="327" t="s">
        <v>3</v>
      </c>
      <c r="D131" s="189">
        <f>SUM(D132:D134)</f>
        <v>6701072.9952099994</v>
      </c>
      <c r="E131" s="189">
        <f>SUM(E132:E134)</f>
        <v>6541527.2108505405</v>
      </c>
      <c r="F131" s="190">
        <f t="shared" si="11"/>
        <v>0.97619100933932468</v>
      </c>
      <c r="G131" s="681">
        <f>SUM(H131:J134)</f>
        <v>27</v>
      </c>
      <c r="H131" s="681">
        <v>22</v>
      </c>
      <c r="I131" s="681">
        <v>3</v>
      </c>
      <c r="J131" s="681">
        <v>2</v>
      </c>
      <c r="K131" s="684">
        <f>(H131+I131/2)/G131</f>
        <v>0.87037037037037035</v>
      </c>
      <c r="L131" s="678" t="s">
        <v>1103</v>
      </c>
      <c r="M131" s="678" t="s">
        <v>1978</v>
      </c>
    </row>
    <row r="132" spans="1:13" ht="30" customHeight="1" outlineLevel="1" x14ac:dyDescent="0.25">
      <c r="A132" s="676"/>
      <c r="B132" s="679"/>
      <c r="C132" s="327" t="s">
        <v>4</v>
      </c>
      <c r="D132" s="189">
        <v>2924575.76566</v>
      </c>
      <c r="E132" s="189">
        <v>2843853.5815300005</v>
      </c>
      <c r="F132" s="190">
        <f t="shared" si="11"/>
        <v>0.97239866886752291</v>
      </c>
      <c r="G132" s="682"/>
      <c r="H132" s="682"/>
      <c r="I132" s="682"/>
      <c r="J132" s="682"/>
      <c r="K132" s="649"/>
      <c r="L132" s="679"/>
      <c r="M132" s="679"/>
    </row>
    <row r="133" spans="1:13" ht="30" customHeight="1" outlineLevel="1" x14ac:dyDescent="0.25">
      <c r="A133" s="676"/>
      <c r="B133" s="679"/>
      <c r="C133" s="388" t="s">
        <v>5</v>
      </c>
      <c r="D133" s="189">
        <v>3215390.4999999995</v>
      </c>
      <c r="E133" s="189">
        <v>3132412.5</v>
      </c>
      <c r="F133" s="190">
        <f t="shared" ref="F133" si="12">E133/D133</f>
        <v>0.97419349220569029</v>
      </c>
      <c r="G133" s="682"/>
      <c r="H133" s="682"/>
      <c r="I133" s="682"/>
      <c r="J133" s="682"/>
      <c r="K133" s="649"/>
      <c r="L133" s="679"/>
      <c r="M133" s="679"/>
    </row>
    <row r="134" spans="1:13" ht="30" customHeight="1" outlineLevel="1" x14ac:dyDescent="0.25">
      <c r="A134" s="676"/>
      <c r="B134" s="679"/>
      <c r="C134" s="327" t="s">
        <v>6</v>
      </c>
      <c r="D134" s="189">
        <v>561106.72955000005</v>
      </c>
      <c r="E134" s="189">
        <v>565261.12932054</v>
      </c>
      <c r="F134" s="190">
        <f t="shared" si="11"/>
        <v>1.007403938594484</v>
      </c>
      <c r="G134" s="682"/>
      <c r="H134" s="682"/>
      <c r="I134" s="682"/>
      <c r="J134" s="682"/>
      <c r="K134" s="649"/>
      <c r="L134" s="679"/>
      <c r="M134" s="679"/>
    </row>
    <row r="135" spans="1:13" ht="32.25" customHeight="1" outlineLevel="1" x14ac:dyDescent="0.25">
      <c r="A135" s="796" t="s">
        <v>192</v>
      </c>
      <c r="B135" s="678" t="s">
        <v>1105</v>
      </c>
      <c r="C135" s="463" t="s">
        <v>3</v>
      </c>
      <c r="D135" s="189">
        <f>SUM(D136:D138)</f>
        <v>1373553.0896100001</v>
      </c>
      <c r="E135" s="189">
        <f>SUM(E136:E138)</f>
        <v>1368785.61289</v>
      </c>
      <c r="F135" s="190">
        <f t="shared" si="11"/>
        <v>0.99652909177223448</v>
      </c>
      <c r="G135" s="797">
        <f>SUM(H135:J135)</f>
        <v>8</v>
      </c>
      <c r="H135" s="797">
        <v>4</v>
      </c>
      <c r="I135" s="797">
        <v>4</v>
      </c>
      <c r="J135" s="800">
        <v>0</v>
      </c>
      <c r="K135" s="778">
        <f>(H135+I135/2)/G135</f>
        <v>0.75</v>
      </c>
      <c r="L135" s="801" t="s">
        <v>1106</v>
      </c>
      <c r="M135" s="693" t="s">
        <v>1979</v>
      </c>
    </row>
    <row r="136" spans="1:13" ht="32.25" customHeight="1" outlineLevel="1" x14ac:dyDescent="0.25">
      <c r="A136" s="796"/>
      <c r="B136" s="679"/>
      <c r="C136" s="463" t="s">
        <v>4</v>
      </c>
      <c r="D136" s="189">
        <v>340659.84892000002</v>
      </c>
      <c r="E136" s="189">
        <v>335892.37220000004</v>
      </c>
      <c r="F136" s="190">
        <f>E136/D136</f>
        <v>0.98600516986338604</v>
      </c>
      <c r="G136" s="798"/>
      <c r="H136" s="798"/>
      <c r="I136" s="798"/>
      <c r="J136" s="800"/>
      <c r="K136" s="778"/>
      <c r="L136" s="801"/>
      <c r="M136" s="652"/>
    </row>
    <row r="137" spans="1:13" ht="32.25" customHeight="1" outlineLevel="1" x14ac:dyDescent="0.25">
      <c r="A137" s="796"/>
      <c r="B137" s="679"/>
      <c r="C137" s="463" t="s">
        <v>5</v>
      </c>
      <c r="D137" s="189">
        <v>948174.4315399999</v>
      </c>
      <c r="E137" s="189">
        <v>948174.4315399999</v>
      </c>
      <c r="F137" s="190">
        <f t="shared" ref="F137:F138" si="13">E137/D137</f>
        <v>1</v>
      </c>
      <c r="G137" s="798"/>
      <c r="H137" s="798"/>
      <c r="I137" s="798"/>
      <c r="J137" s="800"/>
      <c r="K137" s="778"/>
      <c r="L137" s="801"/>
      <c r="M137" s="652"/>
    </row>
    <row r="138" spans="1:13" ht="39" customHeight="1" outlineLevel="1" x14ac:dyDescent="0.25">
      <c r="A138" s="796"/>
      <c r="B138" s="680"/>
      <c r="C138" s="463" t="s">
        <v>6</v>
      </c>
      <c r="D138" s="189">
        <v>84718.809150000001</v>
      </c>
      <c r="E138" s="189">
        <v>84718.809150000001</v>
      </c>
      <c r="F138" s="190">
        <f t="shared" si="13"/>
        <v>1</v>
      </c>
      <c r="G138" s="799"/>
      <c r="H138" s="799"/>
      <c r="I138" s="799"/>
      <c r="J138" s="800"/>
      <c r="K138" s="778"/>
      <c r="L138" s="801"/>
      <c r="M138" s="787"/>
    </row>
    <row r="139" spans="1:13" ht="28.5" customHeight="1" outlineLevel="1" x14ac:dyDescent="0.25">
      <c r="A139" s="796" t="s">
        <v>193</v>
      </c>
      <c r="B139" s="801" t="s">
        <v>1488</v>
      </c>
      <c r="C139" s="327" t="s">
        <v>3</v>
      </c>
      <c r="D139" s="189">
        <f>SUM(D140:D143)</f>
        <v>20480946.035409998</v>
      </c>
      <c r="E139" s="189">
        <f>SUM(E140:E143)</f>
        <v>18692307.445040002</v>
      </c>
      <c r="F139" s="190">
        <f>E139/D139</f>
        <v>0.91266816546083485</v>
      </c>
      <c r="G139" s="800">
        <f>SUM(H139:J139)</f>
        <v>39</v>
      </c>
      <c r="H139" s="800">
        <v>19</v>
      </c>
      <c r="I139" s="800">
        <v>14</v>
      </c>
      <c r="J139" s="800">
        <v>6</v>
      </c>
      <c r="K139" s="778">
        <f>(H139+I139/2)/G139</f>
        <v>0.66666666666666663</v>
      </c>
      <c r="L139" s="802" t="s">
        <v>1107</v>
      </c>
      <c r="M139" s="678" t="s">
        <v>1980</v>
      </c>
    </row>
    <row r="140" spans="1:13" ht="28.5" customHeight="1" outlineLevel="1" x14ac:dyDescent="0.25">
      <c r="A140" s="796"/>
      <c r="B140" s="801"/>
      <c r="C140" s="327" t="s">
        <v>4</v>
      </c>
      <c r="D140" s="189">
        <v>15417495.415409999</v>
      </c>
      <c r="E140" s="189">
        <v>13682730.045039998</v>
      </c>
      <c r="F140" s="190">
        <f>E140/D140</f>
        <v>0.8874807273407016</v>
      </c>
      <c r="G140" s="800"/>
      <c r="H140" s="800"/>
      <c r="I140" s="800"/>
      <c r="J140" s="800"/>
      <c r="K140" s="778"/>
      <c r="L140" s="803"/>
      <c r="M140" s="679"/>
    </row>
    <row r="141" spans="1:13" ht="28.5" customHeight="1" outlineLevel="1" x14ac:dyDescent="0.25">
      <c r="A141" s="796"/>
      <c r="B141" s="801"/>
      <c r="C141" s="327" t="s">
        <v>5</v>
      </c>
      <c r="D141" s="189">
        <v>4969381.9000000004</v>
      </c>
      <c r="E141" s="189">
        <v>4969207.8000000007</v>
      </c>
      <c r="F141" s="190">
        <f t="shared" ref="F141:F143" si="14">E141/D141</f>
        <v>0.99996496546180125</v>
      </c>
      <c r="G141" s="800"/>
      <c r="H141" s="800"/>
      <c r="I141" s="800"/>
      <c r="J141" s="800"/>
      <c r="K141" s="778"/>
      <c r="L141" s="803"/>
      <c r="M141" s="679"/>
    </row>
    <row r="142" spans="1:13" ht="28.5" customHeight="1" outlineLevel="1" x14ac:dyDescent="0.25">
      <c r="A142" s="796"/>
      <c r="B142" s="801"/>
      <c r="C142" s="388" t="s">
        <v>6</v>
      </c>
      <c r="D142" s="189">
        <v>23334.579999999998</v>
      </c>
      <c r="E142" s="189">
        <v>21229</v>
      </c>
      <c r="F142" s="190">
        <f t="shared" ref="F142" si="15">E142/D142</f>
        <v>0.90976567823376298</v>
      </c>
      <c r="G142" s="800"/>
      <c r="H142" s="800"/>
      <c r="I142" s="800"/>
      <c r="J142" s="800"/>
      <c r="K142" s="778"/>
      <c r="L142" s="803"/>
      <c r="M142" s="679"/>
    </row>
    <row r="143" spans="1:13" ht="28.5" customHeight="1" outlineLevel="1" x14ac:dyDescent="0.25">
      <c r="A143" s="796"/>
      <c r="B143" s="801"/>
      <c r="C143" s="327" t="s">
        <v>7</v>
      </c>
      <c r="D143" s="189">
        <v>70734.139999999985</v>
      </c>
      <c r="E143" s="189">
        <v>19140.599999999999</v>
      </c>
      <c r="F143" s="190">
        <f t="shared" si="14"/>
        <v>0.27059917601316708</v>
      </c>
      <c r="G143" s="800"/>
      <c r="H143" s="800"/>
      <c r="I143" s="800"/>
      <c r="J143" s="800"/>
      <c r="K143" s="778"/>
      <c r="L143" s="804"/>
      <c r="M143" s="679"/>
    </row>
    <row r="144" spans="1:13" s="208" customFormat="1" ht="30" customHeight="1" outlineLevel="1" x14ac:dyDescent="0.25">
      <c r="A144" s="675" t="s">
        <v>194</v>
      </c>
      <c r="B144" s="678" t="s">
        <v>1108</v>
      </c>
      <c r="C144" s="327" t="s">
        <v>3</v>
      </c>
      <c r="D144" s="189">
        <f>SUM(D145:D145)</f>
        <v>137095.79999999999</v>
      </c>
      <c r="E144" s="189">
        <f>SUM(E145:E145)</f>
        <v>135919.70000000001</v>
      </c>
      <c r="F144" s="190">
        <f t="shared" si="11"/>
        <v>0.9914213272762552</v>
      </c>
      <c r="G144" s="681">
        <f>SUM(H144:J145)</f>
        <v>1</v>
      </c>
      <c r="H144" s="681">
        <v>1</v>
      </c>
      <c r="I144" s="681">
        <v>0</v>
      </c>
      <c r="J144" s="681">
        <v>0</v>
      </c>
      <c r="K144" s="684">
        <f>(H144+I144/2)/G144</f>
        <v>1</v>
      </c>
      <c r="L144" s="678" t="s">
        <v>1109</v>
      </c>
      <c r="M144" s="675" t="s">
        <v>41</v>
      </c>
    </row>
    <row r="145" spans="1:13" s="208" customFormat="1" ht="30" customHeight="1" outlineLevel="1" x14ac:dyDescent="0.25">
      <c r="A145" s="676"/>
      <c r="B145" s="679"/>
      <c r="C145" s="327" t="s">
        <v>4</v>
      </c>
      <c r="D145" s="189">
        <v>137095.79999999999</v>
      </c>
      <c r="E145" s="189">
        <v>135919.70000000001</v>
      </c>
      <c r="F145" s="190">
        <f t="shared" si="11"/>
        <v>0.9914213272762552</v>
      </c>
      <c r="G145" s="682"/>
      <c r="H145" s="682"/>
      <c r="I145" s="682"/>
      <c r="J145" s="682"/>
      <c r="K145" s="649"/>
      <c r="L145" s="679"/>
      <c r="M145" s="676"/>
    </row>
    <row r="146" spans="1:13" ht="96.75" customHeight="1" x14ac:dyDescent="0.25">
      <c r="A146" s="471" t="s">
        <v>195</v>
      </c>
      <c r="B146" s="457" t="s">
        <v>1022</v>
      </c>
      <c r="C146" s="175" t="s">
        <v>4</v>
      </c>
      <c r="D146" s="176">
        <f>SUM(D147:D150)</f>
        <v>2517894.4</v>
      </c>
      <c r="E146" s="176">
        <f>SUM(E147:E150)</f>
        <v>2497517.6999999997</v>
      </c>
      <c r="F146" s="406">
        <f t="shared" ref="F146:F211" si="16">E146/D146</f>
        <v>0.99190724599093583</v>
      </c>
      <c r="G146" s="459">
        <f>SUM(G147:G150)</f>
        <v>33</v>
      </c>
      <c r="H146" s="459">
        <f>SUM(H147:H150)</f>
        <v>30</v>
      </c>
      <c r="I146" s="459">
        <f>SUM(I147:I150)</f>
        <v>3</v>
      </c>
      <c r="J146" s="459">
        <f>SUM(J147:J150)</f>
        <v>0</v>
      </c>
      <c r="K146" s="460">
        <f t="shared" ref="K146:K151" si="17">(H146+I146/2)/G146</f>
        <v>0.95454545454545459</v>
      </c>
      <c r="L146" s="461" t="s">
        <v>1241</v>
      </c>
      <c r="M146" s="472"/>
    </row>
    <row r="147" spans="1:13" s="208" customFormat="1" ht="76.5" customHeight="1" outlineLevel="1" x14ac:dyDescent="0.25">
      <c r="A147" s="327" t="s">
        <v>196</v>
      </c>
      <c r="B147" s="323" t="s">
        <v>1055</v>
      </c>
      <c r="C147" s="327" t="s">
        <v>4</v>
      </c>
      <c r="D147" s="189">
        <v>115647.9</v>
      </c>
      <c r="E147" s="189">
        <v>113392.29999999999</v>
      </c>
      <c r="F147" s="190">
        <f t="shared" si="16"/>
        <v>0.98049597096012975</v>
      </c>
      <c r="G147" s="324">
        <f>SUM(H147:J147)</f>
        <v>15</v>
      </c>
      <c r="H147" s="364">
        <v>15</v>
      </c>
      <c r="I147" s="364">
        <v>0</v>
      </c>
      <c r="J147" s="324">
        <v>0</v>
      </c>
      <c r="K147" s="325">
        <f>(H147+I147*0.5)/G147</f>
        <v>1</v>
      </c>
      <c r="L147" s="330" t="s">
        <v>1240</v>
      </c>
      <c r="M147" s="422" t="s">
        <v>41</v>
      </c>
    </row>
    <row r="148" spans="1:13" s="208" customFormat="1" ht="84" customHeight="1" outlineLevel="1" x14ac:dyDescent="0.25">
      <c r="A148" s="327" t="s">
        <v>1492</v>
      </c>
      <c r="B148" s="209" t="s">
        <v>1056</v>
      </c>
      <c r="C148" s="327" t="s">
        <v>4</v>
      </c>
      <c r="D148" s="189">
        <v>2134604.2000000002</v>
      </c>
      <c r="E148" s="189">
        <v>2122170</v>
      </c>
      <c r="F148" s="190">
        <f t="shared" si="16"/>
        <v>0.994174938848148</v>
      </c>
      <c r="G148" s="324">
        <f>SUM(H148:J148)</f>
        <v>10</v>
      </c>
      <c r="H148" s="324">
        <v>9</v>
      </c>
      <c r="I148" s="324">
        <v>1</v>
      </c>
      <c r="J148" s="324">
        <v>0</v>
      </c>
      <c r="K148" s="325">
        <f t="shared" si="17"/>
        <v>0.95</v>
      </c>
      <c r="L148" s="323" t="s">
        <v>1118</v>
      </c>
      <c r="M148" s="209" t="s">
        <v>1662</v>
      </c>
    </row>
    <row r="149" spans="1:13" s="208" customFormat="1" ht="116.25" customHeight="1" outlineLevel="1" x14ac:dyDescent="0.25">
      <c r="A149" s="327" t="s">
        <v>1493</v>
      </c>
      <c r="B149" s="209" t="s">
        <v>1057</v>
      </c>
      <c r="C149" s="327" t="s">
        <v>4</v>
      </c>
      <c r="D149" s="189">
        <v>165015.79999999999</v>
      </c>
      <c r="E149" s="189">
        <v>164230.79999999999</v>
      </c>
      <c r="F149" s="190">
        <f t="shared" si="16"/>
        <v>0.99524287977272474</v>
      </c>
      <c r="G149" s="324">
        <f>SUM(H149:J149)</f>
        <v>5</v>
      </c>
      <c r="H149" s="324">
        <v>4</v>
      </c>
      <c r="I149" s="324">
        <v>1</v>
      </c>
      <c r="J149" s="324">
        <v>0</v>
      </c>
      <c r="K149" s="325">
        <f t="shared" si="17"/>
        <v>0.9</v>
      </c>
      <c r="L149" s="323" t="s">
        <v>1058</v>
      </c>
      <c r="M149" s="421" t="s">
        <v>1663</v>
      </c>
    </row>
    <row r="150" spans="1:13" s="208" customFormat="1" ht="66.75" customHeight="1" outlineLevel="1" x14ac:dyDescent="0.25">
      <c r="A150" s="327" t="s">
        <v>1494</v>
      </c>
      <c r="B150" s="209" t="s">
        <v>189</v>
      </c>
      <c r="C150" s="327" t="s">
        <v>4</v>
      </c>
      <c r="D150" s="189">
        <v>102626.49999999999</v>
      </c>
      <c r="E150" s="189">
        <v>97724.6</v>
      </c>
      <c r="F150" s="190">
        <f t="shared" si="16"/>
        <v>0.95223553370718106</v>
      </c>
      <c r="G150" s="324">
        <f>SUM(H150:J150)</f>
        <v>3</v>
      </c>
      <c r="H150" s="324">
        <v>2</v>
      </c>
      <c r="I150" s="324">
        <v>1</v>
      </c>
      <c r="J150" s="324">
        <v>0</v>
      </c>
      <c r="K150" s="325">
        <f t="shared" si="17"/>
        <v>0.83333333333333337</v>
      </c>
      <c r="L150" s="323" t="s">
        <v>1059</v>
      </c>
      <c r="M150" s="362" t="s">
        <v>1664</v>
      </c>
    </row>
    <row r="151" spans="1:13" ht="21.75" customHeight="1" x14ac:dyDescent="0.25">
      <c r="A151" s="754" t="s">
        <v>197</v>
      </c>
      <c r="B151" s="716" t="s">
        <v>993</v>
      </c>
      <c r="C151" s="175" t="s">
        <v>3</v>
      </c>
      <c r="D151" s="176">
        <f>SUM(D152:D155)</f>
        <v>1053008.9557</v>
      </c>
      <c r="E151" s="176">
        <f>SUM(E152:E155)</f>
        <v>927267.87899</v>
      </c>
      <c r="F151" s="406">
        <f t="shared" si="16"/>
        <v>0.88058878699050358</v>
      </c>
      <c r="G151" s="763">
        <f>SUM(G156:G173)</f>
        <v>59</v>
      </c>
      <c r="H151" s="763">
        <f>SUM(H156:H173)</f>
        <v>45</v>
      </c>
      <c r="I151" s="763">
        <f>SUM(I156:I173)</f>
        <v>9</v>
      </c>
      <c r="J151" s="763">
        <f>SUM(J156:J173)</f>
        <v>5</v>
      </c>
      <c r="K151" s="692">
        <f t="shared" si="17"/>
        <v>0.83898305084745761</v>
      </c>
      <c r="L151" s="736" t="s">
        <v>1064</v>
      </c>
      <c r="M151" s="697"/>
    </row>
    <row r="152" spans="1:13" ht="21.75" customHeight="1" x14ac:dyDescent="0.25">
      <c r="A152" s="658"/>
      <c r="B152" s="717"/>
      <c r="C152" s="178" t="s">
        <v>4</v>
      </c>
      <c r="D152" s="179">
        <f>D156+D158+D162+D164+D167+D172</f>
        <v>637886.28604000004</v>
      </c>
      <c r="E152" s="179">
        <f>E156+E158+E162+E164+E167+E172</f>
        <v>605116.69117000001</v>
      </c>
      <c r="F152" s="405">
        <f t="shared" si="16"/>
        <v>0.94862784231742336</v>
      </c>
      <c r="G152" s="664"/>
      <c r="H152" s="664"/>
      <c r="I152" s="664"/>
      <c r="J152" s="664"/>
      <c r="K152" s="667"/>
      <c r="L152" s="737"/>
      <c r="M152" s="698"/>
    </row>
    <row r="153" spans="1:13" ht="21.75" customHeight="1" x14ac:dyDescent="0.25">
      <c r="A153" s="658"/>
      <c r="B153" s="717"/>
      <c r="C153" s="178" t="s">
        <v>5</v>
      </c>
      <c r="D153" s="179">
        <f>D159+D165+D168+D173</f>
        <v>311245.56966000004</v>
      </c>
      <c r="E153" s="179">
        <f>E159+E165+E168+E173</f>
        <v>305629.68781999999</v>
      </c>
      <c r="F153" s="405">
        <f t="shared" si="16"/>
        <v>0.98195674930848087</v>
      </c>
      <c r="G153" s="664"/>
      <c r="H153" s="664"/>
      <c r="I153" s="664"/>
      <c r="J153" s="664"/>
      <c r="K153" s="667"/>
      <c r="L153" s="737"/>
      <c r="M153" s="698"/>
    </row>
    <row r="154" spans="1:13" ht="21.75" customHeight="1" x14ac:dyDescent="0.25">
      <c r="A154" s="658"/>
      <c r="B154" s="717"/>
      <c r="C154" s="178" t="s">
        <v>6</v>
      </c>
      <c r="D154" s="179">
        <f>D169</f>
        <v>7706.4</v>
      </c>
      <c r="E154" s="179">
        <f>E169</f>
        <v>3770.4</v>
      </c>
      <c r="F154" s="405">
        <f t="shared" si="16"/>
        <v>0.48925568358766741</v>
      </c>
      <c r="G154" s="664"/>
      <c r="H154" s="664"/>
      <c r="I154" s="664"/>
      <c r="J154" s="664"/>
      <c r="K154" s="667"/>
      <c r="L154" s="737"/>
      <c r="M154" s="698"/>
    </row>
    <row r="155" spans="1:13" ht="21.75" customHeight="1" x14ac:dyDescent="0.25">
      <c r="A155" s="786"/>
      <c r="B155" s="718"/>
      <c r="C155" s="178" t="s">
        <v>7</v>
      </c>
      <c r="D155" s="179">
        <f>D160+D170</f>
        <v>96170.700000000012</v>
      </c>
      <c r="E155" s="179">
        <f>E160+E170</f>
        <v>12751.1</v>
      </c>
      <c r="F155" s="405">
        <f t="shared" si="16"/>
        <v>0.13258819994031446</v>
      </c>
      <c r="G155" s="764"/>
      <c r="H155" s="764"/>
      <c r="I155" s="764"/>
      <c r="J155" s="764"/>
      <c r="K155" s="765"/>
      <c r="L155" s="738"/>
      <c r="M155" s="699"/>
    </row>
    <row r="156" spans="1:13" s="208" customFormat="1" ht="90" customHeight="1" outlineLevel="1" x14ac:dyDescent="0.25">
      <c r="A156" s="327" t="s">
        <v>198</v>
      </c>
      <c r="B156" s="209" t="s">
        <v>203</v>
      </c>
      <c r="C156" s="327" t="s">
        <v>4</v>
      </c>
      <c r="D156" s="189">
        <v>46364.051640000005</v>
      </c>
      <c r="E156" s="189">
        <v>26631.241760000004</v>
      </c>
      <c r="F156" s="190">
        <f t="shared" si="16"/>
        <v>0.57439418726348401</v>
      </c>
      <c r="G156" s="324">
        <f>SUM(H156:J156)</f>
        <v>14</v>
      </c>
      <c r="H156" s="324">
        <v>9</v>
      </c>
      <c r="I156" s="324">
        <v>4</v>
      </c>
      <c r="J156" s="324">
        <v>1</v>
      </c>
      <c r="K156" s="325">
        <f>(H156+I156/2)/G156</f>
        <v>0.7857142857142857</v>
      </c>
      <c r="L156" s="323" t="s">
        <v>1063</v>
      </c>
      <c r="M156" s="377" t="s">
        <v>1806</v>
      </c>
    </row>
    <row r="157" spans="1:13" s="208" customFormat="1" ht="21" customHeight="1" outlineLevel="1" x14ac:dyDescent="0.25">
      <c r="A157" s="675" t="s">
        <v>199</v>
      </c>
      <c r="B157" s="678" t="s">
        <v>205</v>
      </c>
      <c r="C157" s="327" t="s">
        <v>3</v>
      </c>
      <c r="D157" s="189">
        <f>SUM(D158:D160)</f>
        <v>362320.57540000003</v>
      </c>
      <c r="E157" s="189">
        <f>SUM(E158:E160)</f>
        <v>316794.06407999998</v>
      </c>
      <c r="F157" s="190">
        <f t="shared" si="16"/>
        <v>0.87434743039437102</v>
      </c>
      <c r="G157" s="681">
        <f>SUM(H157:J160)</f>
        <v>22</v>
      </c>
      <c r="H157" s="681">
        <v>17</v>
      </c>
      <c r="I157" s="681">
        <v>3</v>
      </c>
      <c r="J157" s="681">
        <v>2</v>
      </c>
      <c r="K157" s="684">
        <f>(H157+I157/2)/G157</f>
        <v>0.84090909090909094</v>
      </c>
      <c r="L157" s="678" t="s">
        <v>1062</v>
      </c>
      <c r="M157" s="678" t="s">
        <v>1316</v>
      </c>
    </row>
    <row r="158" spans="1:13" s="208" customFormat="1" ht="21" customHeight="1" outlineLevel="1" x14ac:dyDescent="0.25">
      <c r="A158" s="676"/>
      <c r="B158" s="679"/>
      <c r="C158" s="327" t="s">
        <v>4</v>
      </c>
      <c r="D158" s="189">
        <v>179711.47540000002</v>
      </c>
      <c r="E158" s="189">
        <v>179512.67358</v>
      </c>
      <c r="F158" s="190">
        <f t="shared" si="16"/>
        <v>0.99889377225601461</v>
      </c>
      <c r="G158" s="682"/>
      <c r="H158" s="682"/>
      <c r="I158" s="682"/>
      <c r="J158" s="682"/>
      <c r="K158" s="649" t="e">
        <f>(#REF!+#REF!/2)/#REF!</f>
        <v>#REF!</v>
      </c>
      <c r="L158" s="679"/>
      <c r="M158" s="679"/>
    </row>
    <row r="159" spans="1:13" s="208" customFormat="1" ht="21" customHeight="1" outlineLevel="1" x14ac:dyDescent="0.25">
      <c r="A159" s="676"/>
      <c r="B159" s="679"/>
      <c r="C159" s="327" t="s">
        <v>5</v>
      </c>
      <c r="D159" s="189">
        <v>133179.9</v>
      </c>
      <c r="E159" s="189">
        <v>127930.2905</v>
      </c>
      <c r="F159" s="190">
        <f t="shared" si="16"/>
        <v>0.96058256914143958</v>
      </c>
      <c r="G159" s="682"/>
      <c r="H159" s="682"/>
      <c r="I159" s="682"/>
      <c r="J159" s="682"/>
      <c r="K159" s="649" t="e">
        <f>(#REF!+K157/2)/#REF!</f>
        <v>#REF!</v>
      </c>
      <c r="L159" s="679"/>
      <c r="M159" s="679"/>
    </row>
    <row r="160" spans="1:13" s="208" customFormat="1" ht="21" customHeight="1" outlineLevel="1" x14ac:dyDescent="0.25">
      <c r="A160" s="677"/>
      <c r="B160" s="680"/>
      <c r="C160" s="327" t="s">
        <v>7</v>
      </c>
      <c r="D160" s="189">
        <v>49429.200000000004</v>
      </c>
      <c r="E160" s="189">
        <v>9351.1</v>
      </c>
      <c r="F160" s="190">
        <f t="shared" si="16"/>
        <v>0.18918169826742087</v>
      </c>
      <c r="G160" s="683"/>
      <c r="H160" s="683"/>
      <c r="I160" s="683"/>
      <c r="J160" s="683"/>
      <c r="K160" s="685" t="e">
        <f>(K158+K159/2)/K157</f>
        <v>#REF!</v>
      </c>
      <c r="L160" s="680"/>
      <c r="M160" s="680"/>
    </row>
    <row r="161" spans="1:13" s="208" customFormat="1" ht="27" customHeight="1" outlineLevel="1" x14ac:dyDescent="0.25">
      <c r="A161" s="675" t="s">
        <v>200</v>
      </c>
      <c r="B161" s="678" t="s">
        <v>207</v>
      </c>
      <c r="C161" s="327" t="s">
        <v>3</v>
      </c>
      <c r="D161" s="189">
        <f>SUM(D162:D162)</f>
        <v>35808</v>
      </c>
      <c r="E161" s="189">
        <f>SUM(E162:E162)</f>
        <v>32866.997450000003</v>
      </c>
      <c r="F161" s="190">
        <f t="shared" si="16"/>
        <v>0.91786744442582668</v>
      </c>
      <c r="G161" s="681">
        <f>SUM(H161:J162)</f>
        <v>8</v>
      </c>
      <c r="H161" s="681">
        <v>7</v>
      </c>
      <c r="I161" s="681">
        <v>0</v>
      </c>
      <c r="J161" s="681">
        <v>1</v>
      </c>
      <c r="K161" s="684">
        <f>(H161+I161/2)/G161</f>
        <v>0.875</v>
      </c>
      <c r="L161" s="678" t="s">
        <v>1061</v>
      </c>
      <c r="M161" s="678" t="s">
        <v>1807</v>
      </c>
    </row>
    <row r="162" spans="1:13" s="208" customFormat="1" ht="27" customHeight="1" outlineLevel="1" x14ac:dyDescent="0.25">
      <c r="A162" s="676"/>
      <c r="B162" s="679"/>
      <c r="C162" s="327" t="s">
        <v>4</v>
      </c>
      <c r="D162" s="189">
        <v>35808</v>
      </c>
      <c r="E162" s="189">
        <v>32866.997450000003</v>
      </c>
      <c r="F162" s="190">
        <f t="shared" si="16"/>
        <v>0.91786744442582668</v>
      </c>
      <c r="G162" s="682"/>
      <c r="H162" s="682"/>
      <c r="I162" s="682"/>
      <c r="J162" s="682"/>
      <c r="K162" s="649" t="e">
        <f>(#REF!+#REF!/2)/#REF!</f>
        <v>#REF!</v>
      </c>
      <c r="L162" s="679"/>
      <c r="M162" s="679"/>
    </row>
    <row r="163" spans="1:13" s="208" customFormat="1" ht="21.75" customHeight="1" outlineLevel="1" x14ac:dyDescent="0.25">
      <c r="A163" s="675" t="s">
        <v>201</v>
      </c>
      <c r="B163" s="678" t="s">
        <v>209</v>
      </c>
      <c r="C163" s="327" t="s">
        <v>3</v>
      </c>
      <c r="D163" s="189">
        <f>SUM(D164:D165)</f>
        <v>515835.69009000005</v>
      </c>
      <c r="E163" s="189">
        <f>SUM(E164:E165)</f>
        <v>512401.62650000001</v>
      </c>
      <c r="F163" s="190">
        <f t="shared" si="16"/>
        <v>0.99334271812522146</v>
      </c>
      <c r="G163" s="681">
        <f>SUM(H163:J165)</f>
        <v>3</v>
      </c>
      <c r="H163" s="681">
        <v>3</v>
      </c>
      <c r="I163" s="681">
        <v>0</v>
      </c>
      <c r="J163" s="681">
        <v>0</v>
      </c>
      <c r="K163" s="684">
        <f>(H163+I163/2)/G163</f>
        <v>1</v>
      </c>
      <c r="L163" s="678" t="s">
        <v>1060</v>
      </c>
      <c r="M163" s="675" t="s">
        <v>41</v>
      </c>
    </row>
    <row r="164" spans="1:13" s="208" customFormat="1" ht="21.75" customHeight="1" outlineLevel="1" x14ac:dyDescent="0.25">
      <c r="A164" s="676"/>
      <c r="B164" s="679"/>
      <c r="C164" s="327" t="s">
        <v>4</v>
      </c>
      <c r="D164" s="189">
        <v>341554.81200000003</v>
      </c>
      <c r="E164" s="189">
        <v>338348.79330000002</v>
      </c>
      <c r="F164" s="190">
        <f t="shared" si="16"/>
        <v>0.99061345767249798</v>
      </c>
      <c r="G164" s="682"/>
      <c r="H164" s="682"/>
      <c r="I164" s="682"/>
      <c r="J164" s="682"/>
      <c r="K164" s="649" t="e">
        <f>(#REF!+#REF!/2)/#REF!</f>
        <v>#REF!</v>
      </c>
      <c r="L164" s="679"/>
      <c r="M164" s="676"/>
    </row>
    <row r="165" spans="1:13" s="208" customFormat="1" ht="21.75" customHeight="1" outlineLevel="1" x14ac:dyDescent="0.25">
      <c r="A165" s="677"/>
      <c r="B165" s="680"/>
      <c r="C165" s="327" t="s">
        <v>5</v>
      </c>
      <c r="D165" s="189">
        <v>174280.87809000001</v>
      </c>
      <c r="E165" s="189">
        <v>174052.83319999999</v>
      </c>
      <c r="F165" s="190">
        <f t="shared" si="16"/>
        <v>0.99869150940424889</v>
      </c>
      <c r="G165" s="683"/>
      <c r="H165" s="683"/>
      <c r="I165" s="683"/>
      <c r="J165" s="683"/>
      <c r="K165" s="685" t="e">
        <f>(#REF!+K163/2)/#REF!</f>
        <v>#REF!</v>
      </c>
      <c r="L165" s="805"/>
      <c r="M165" s="677"/>
    </row>
    <row r="166" spans="1:13" s="208" customFormat="1" ht="23.25" customHeight="1" outlineLevel="1" x14ac:dyDescent="0.25">
      <c r="A166" s="675" t="s">
        <v>1495</v>
      </c>
      <c r="B166" s="678" t="s">
        <v>211</v>
      </c>
      <c r="C166" s="327" t="s">
        <v>3</v>
      </c>
      <c r="D166" s="189">
        <f>SUM(D167:D170)</f>
        <v>84285.5</v>
      </c>
      <c r="E166" s="189">
        <f>SUM(E167:E170)</f>
        <v>30204.204880000001</v>
      </c>
      <c r="F166" s="190">
        <f t="shared" si="16"/>
        <v>0.35835588422682429</v>
      </c>
      <c r="G166" s="681">
        <f>SUM(H166:J170)</f>
        <v>5</v>
      </c>
      <c r="H166" s="681">
        <v>2</v>
      </c>
      <c r="I166" s="681">
        <v>2</v>
      </c>
      <c r="J166" s="681">
        <v>1</v>
      </c>
      <c r="K166" s="684">
        <f>(H166+I166/2)/G166</f>
        <v>0.6</v>
      </c>
      <c r="L166" s="806" t="s">
        <v>1317</v>
      </c>
      <c r="M166" s="678" t="s">
        <v>1808</v>
      </c>
    </row>
    <row r="167" spans="1:13" s="208" customFormat="1" ht="23.25" customHeight="1" outlineLevel="1" x14ac:dyDescent="0.25">
      <c r="A167" s="676"/>
      <c r="B167" s="679"/>
      <c r="C167" s="327" t="s">
        <v>4</v>
      </c>
      <c r="D167" s="189">
        <v>27685.399999999998</v>
      </c>
      <c r="E167" s="189">
        <v>21003.43233</v>
      </c>
      <c r="F167" s="190">
        <f t="shared" si="16"/>
        <v>0.75864651874273092</v>
      </c>
      <c r="G167" s="682"/>
      <c r="H167" s="682"/>
      <c r="I167" s="682"/>
      <c r="J167" s="682"/>
      <c r="K167" s="649" t="e">
        <f>(#REF!+#REF!/2)/#REF!</f>
        <v>#REF!</v>
      </c>
      <c r="L167" s="776"/>
      <c r="M167" s="679"/>
    </row>
    <row r="168" spans="1:13" s="208" customFormat="1" ht="23.25" customHeight="1" outlineLevel="1" x14ac:dyDescent="0.25">
      <c r="A168" s="676"/>
      <c r="B168" s="679"/>
      <c r="C168" s="327" t="s">
        <v>5</v>
      </c>
      <c r="D168" s="189">
        <v>2152.1999999999998</v>
      </c>
      <c r="E168" s="189">
        <v>2030.37255</v>
      </c>
      <c r="F168" s="190">
        <f t="shared" si="16"/>
        <v>0.94339399219403408</v>
      </c>
      <c r="G168" s="682"/>
      <c r="H168" s="682"/>
      <c r="I168" s="682"/>
      <c r="J168" s="682"/>
      <c r="K168" s="649"/>
      <c r="L168" s="776"/>
      <c r="M168" s="679"/>
    </row>
    <row r="169" spans="1:13" s="208" customFormat="1" ht="23.25" customHeight="1" outlineLevel="1" x14ac:dyDescent="0.25">
      <c r="A169" s="676"/>
      <c r="B169" s="679"/>
      <c r="C169" s="327" t="s">
        <v>6</v>
      </c>
      <c r="D169" s="189">
        <v>7706.4</v>
      </c>
      <c r="E169" s="189">
        <v>3770.4</v>
      </c>
      <c r="F169" s="190">
        <f t="shared" si="16"/>
        <v>0.48925568358766741</v>
      </c>
      <c r="G169" s="682"/>
      <c r="H169" s="682"/>
      <c r="I169" s="682"/>
      <c r="J169" s="682"/>
      <c r="K169" s="649" t="e">
        <f>(K166+K167/2)/#REF!</f>
        <v>#REF!</v>
      </c>
      <c r="L169" s="776"/>
      <c r="M169" s="679"/>
    </row>
    <row r="170" spans="1:13" s="208" customFormat="1" ht="47.25" customHeight="1" outlineLevel="1" x14ac:dyDescent="0.25">
      <c r="A170" s="677"/>
      <c r="B170" s="680"/>
      <c r="C170" s="327" t="s">
        <v>7</v>
      </c>
      <c r="D170" s="189">
        <v>46741.5</v>
      </c>
      <c r="E170" s="189">
        <v>3400</v>
      </c>
      <c r="F170" s="190">
        <f t="shared" si="16"/>
        <v>7.2740498272413162E-2</v>
      </c>
      <c r="G170" s="683"/>
      <c r="H170" s="683"/>
      <c r="I170" s="683"/>
      <c r="J170" s="683"/>
      <c r="K170" s="685" t="e">
        <f>(K167+#REF!/2)/K166</f>
        <v>#REF!</v>
      </c>
      <c r="L170" s="777"/>
      <c r="M170" s="680"/>
    </row>
    <row r="171" spans="1:13" s="208" customFormat="1" ht="21.75" customHeight="1" outlineLevel="1" x14ac:dyDescent="0.25">
      <c r="A171" s="675" t="s">
        <v>1496</v>
      </c>
      <c r="B171" s="678" t="s">
        <v>212</v>
      </c>
      <c r="C171" s="327" t="s">
        <v>3</v>
      </c>
      <c r="D171" s="189">
        <f>SUM(D172:D173)</f>
        <v>8395.138570000001</v>
      </c>
      <c r="E171" s="189">
        <f>SUM(E172:E173)</f>
        <v>8369.7443200000016</v>
      </c>
      <c r="F171" s="190">
        <f t="shared" si="16"/>
        <v>0.99697512437844138</v>
      </c>
      <c r="G171" s="681">
        <f>SUM(H171:J173)</f>
        <v>7</v>
      </c>
      <c r="H171" s="681">
        <v>7</v>
      </c>
      <c r="I171" s="681">
        <v>0</v>
      </c>
      <c r="J171" s="681">
        <v>0</v>
      </c>
      <c r="K171" s="684">
        <f>(H171+I171/2)/G171</f>
        <v>1</v>
      </c>
      <c r="L171" s="678" t="s">
        <v>1063</v>
      </c>
      <c r="M171" s="675" t="s">
        <v>41</v>
      </c>
    </row>
    <row r="172" spans="1:13" s="208" customFormat="1" ht="21.75" customHeight="1" outlineLevel="1" x14ac:dyDescent="0.25">
      <c r="A172" s="807"/>
      <c r="B172" s="807"/>
      <c r="C172" s="327" t="s">
        <v>4</v>
      </c>
      <c r="D172" s="189">
        <v>6762.5470000000005</v>
      </c>
      <c r="E172" s="189">
        <v>6753.5527500000007</v>
      </c>
      <c r="F172" s="190">
        <f t="shared" si="16"/>
        <v>0.99866999075939877</v>
      </c>
      <c r="G172" s="807"/>
      <c r="H172" s="807"/>
      <c r="I172" s="807"/>
      <c r="J172" s="807"/>
      <c r="K172" s="807"/>
      <c r="L172" s="807"/>
      <c r="M172" s="809"/>
    </row>
    <row r="173" spans="1:13" s="208" customFormat="1" ht="21.6" customHeight="1" outlineLevel="1" x14ac:dyDescent="0.25">
      <c r="A173" s="808"/>
      <c r="B173" s="808"/>
      <c r="C173" s="327" t="s">
        <v>5</v>
      </c>
      <c r="D173" s="189">
        <v>1632.59157</v>
      </c>
      <c r="E173" s="189">
        <v>1616.1915700000002</v>
      </c>
      <c r="F173" s="190">
        <f t="shared" si="16"/>
        <v>0.98995462165714854</v>
      </c>
      <c r="G173" s="808"/>
      <c r="H173" s="808"/>
      <c r="I173" s="808"/>
      <c r="J173" s="808"/>
      <c r="K173" s="808"/>
      <c r="L173" s="808"/>
      <c r="M173" s="810"/>
    </row>
    <row r="174" spans="1:13" ht="30" customHeight="1" x14ac:dyDescent="0.25">
      <c r="A174" s="754" t="s">
        <v>1497</v>
      </c>
      <c r="B174" s="716" t="s">
        <v>1023</v>
      </c>
      <c r="C174" s="175" t="s">
        <v>3</v>
      </c>
      <c r="D174" s="176">
        <f>SUM(D175:D178)</f>
        <v>1524467.4221400002</v>
      </c>
      <c r="E174" s="176">
        <f>SUM(E175:E178)</f>
        <v>1561209.9100200003</v>
      </c>
      <c r="F174" s="406">
        <f t="shared" si="16"/>
        <v>1.024101851798461</v>
      </c>
      <c r="G174" s="763">
        <f>SUM(G179:G194)</f>
        <v>37</v>
      </c>
      <c r="H174" s="763">
        <f>SUM(H179:H194)</f>
        <v>33</v>
      </c>
      <c r="I174" s="763">
        <f>SUM(I179:I194)</f>
        <v>4</v>
      </c>
      <c r="J174" s="763">
        <f>SUM(J179:J194)</f>
        <v>0</v>
      </c>
      <c r="K174" s="692">
        <f>(H174+I174/2)/G174</f>
        <v>0.94594594594594594</v>
      </c>
      <c r="L174" s="736" t="s">
        <v>1301</v>
      </c>
      <c r="M174" s="697"/>
    </row>
    <row r="175" spans="1:13" ht="30" customHeight="1" x14ac:dyDescent="0.25">
      <c r="A175" s="658"/>
      <c r="B175" s="717"/>
      <c r="C175" s="178" t="s">
        <v>4</v>
      </c>
      <c r="D175" s="179">
        <f>D180+D184+D188+D190+D192</f>
        <v>1236161.4500800001</v>
      </c>
      <c r="E175" s="179">
        <f>E180+E184+E188+E190+E192</f>
        <v>1193741.6540200002</v>
      </c>
      <c r="F175" s="405">
        <f t="shared" si="16"/>
        <v>0.96568425907695588</v>
      </c>
      <c r="G175" s="664"/>
      <c r="H175" s="664"/>
      <c r="I175" s="664"/>
      <c r="J175" s="664"/>
      <c r="K175" s="667"/>
      <c r="L175" s="737"/>
      <c r="M175" s="698"/>
    </row>
    <row r="176" spans="1:13" ht="30" customHeight="1" x14ac:dyDescent="0.25">
      <c r="A176" s="658"/>
      <c r="B176" s="717"/>
      <c r="C176" s="178" t="s">
        <v>5</v>
      </c>
      <c r="D176" s="179">
        <f>D181+D185+D193</f>
        <v>186708.01605999999</v>
      </c>
      <c r="E176" s="179">
        <f>E181+E185+E193</f>
        <v>186686.74</v>
      </c>
      <c r="F176" s="405">
        <f t="shared" si="16"/>
        <v>0.99988604634954092</v>
      </c>
      <c r="G176" s="664"/>
      <c r="H176" s="664"/>
      <c r="I176" s="664"/>
      <c r="J176" s="664"/>
      <c r="K176" s="667"/>
      <c r="L176" s="737"/>
      <c r="M176" s="698"/>
    </row>
    <row r="177" spans="1:13" ht="30" customHeight="1" x14ac:dyDescent="0.25">
      <c r="A177" s="658"/>
      <c r="B177" s="717"/>
      <c r="C177" s="178" t="s">
        <v>6</v>
      </c>
      <c r="D177" s="179">
        <f>D194</f>
        <v>11307.356</v>
      </c>
      <c r="E177" s="179">
        <f>E194</f>
        <v>11307.396000000001</v>
      </c>
      <c r="F177" s="405">
        <v>1</v>
      </c>
      <c r="G177" s="664"/>
      <c r="H177" s="664"/>
      <c r="I177" s="664"/>
      <c r="J177" s="664"/>
      <c r="K177" s="667"/>
      <c r="L177" s="737"/>
      <c r="M177" s="698"/>
    </row>
    <row r="178" spans="1:13" ht="30" customHeight="1" x14ac:dyDescent="0.25">
      <c r="A178" s="786"/>
      <c r="B178" s="718"/>
      <c r="C178" s="178" t="s">
        <v>7</v>
      </c>
      <c r="D178" s="179">
        <f>D182+D186+D195</f>
        <v>90290.6</v>
      </c>
      <c r="E178" s="179">
        <f>E182+E186+E195</f>
        <v>169474.12</v>
      </c>
      <c r="F178" s="405">
        <f t="shared" si="16"/>
        <v>1.8769852011172812</v>
      </c>
      <c r="G178" s="764"/>
      <c r="H178" s="764"/>
      <c r="I178" s="764"/>
      <c r="J178" s="764"/>
      <c r="K178" s="765"/>
      <c r="L178" s="738"/>
      <c r="M178" s="699"/>
    </row>
    <row r="179" spans="1:13" s="208" customFormat="1" ht="26.25" customHeight="1" outlineLevel="1" x14ac:dyDescent="0.25">
      <c r="A179" s="675" t="s">
        <v>202</v>
      </c>
      <c r="B179" s="678" t="s">
        <v>1065</v>
      </c>
      <c r="C179" s="327" t="s">
        <v>3</v>
      </c>
      <c r="D179" s="189">
        <f>SUM(D180:D182)</f>
        <v>906315.81389999983</v>
      </c>
      <c r="E179" s="189">
        <f>SUM(E180:E182)</f>
        <v>901435.98415000003</v>
      </c>
      <c r="F179" s="190">
        <f>E179/D179</f>
        <v>0.9946157512920345</v>
      </c>
      <c r="G179" s="681">
        <f>SUM(H179:J182)</f>
        <v>20</v>
      </c>
      <c r="H179" s="681">
        <v>19</v>
      </c>
      <c r="I179" s="681">
        <v>1</v>
      </c>
      <c r="J179" s="681">
        <v>0</v>
      </c>
      <c r="K179" s="684">
        <f>(H179+I179/2)/G179</f>
        <v>0.97499999999999998</v>
      </c>
      <c r="L179" s="678" t="s">
        <v>958</v>
      </c>
      <c r="M179" s="675" t="s">
        <v>41</v>
      </c>
    </row>
    <row r="180" spans="1:13" s="208" customFormat="1" ht="26.25" customHeight="1" outlineLevel="1" x14ac:dyDescent="0.25">
      <c r="A180" s="676"/>
      <c r="B180" s="679"/>
      <c r="C180" s="327" t="s">
        <v>4</v>
      </c>
      <c r="D180" s="189">
        <v>873842.93389999983</v>
      </c>
      <c r="E180" s="189">
        <v>869079.58415000001</v>
      </c>
      <c r="F180" s="190">
        <f t="shared" ref="F180:F195" si="18">E180/D180</f>
        <v>0.99454896347477373</v>
      </c>
      <c r="G180" s="682"/>
      <c r="H180" s="682"/>
      <c r="I180" s="682"/>
      <c r="J180" s="682"/>
      <c r="K180" s="649" t="e">
        <f>(#REF!+#REF!/2)/#REF!</f>
        <v>#REF!</v>
      </c>
      <c r="L180" s="679"/>
      <c r="M180" s="676"/>
    </row>
    <row r="181" spans="1:13" s="208" customFormat="1" ht="26.25" customHeight="1" outlineLevel="1" x14ac:dyDescent="0.25">
      <c r="A181" s="676"/>
      <c r="B181" s="679"/>
      <c r="C181" s="327" t="s">
        <v>5</v>
      </c>
      <c r="D181" s="189">
        <v>31317.279999999999</v>
      </c>
      <c r="E181" s="189">
        <v>31317.279999999999</v>
      </c>
      <c r="F181" s="190">
        <f t="shared" si="18"/>
        <v>1</v>
      </c>
      <c r="G181" s="682"/>
      <c r="H181" s="682"/>
      <c r="I181" s="682"/>
      <c r="J181" s="682"/>
      <c r="K181" s="649" t="e">
        <f>(#REF!+K179/2)/#REF!</f>
        <v>#REF!</v>
      </c>
      <c r="L181" s="679"/>
      <c r="M181" s="676"/>
    </row>
    <row r="182" spans="1:13" s="208" customFormat="1" ht="26.25" customHeight="1" outlineLevel="1" x14ac:dyDescent="0.25">
      <c r="A182" s="677"/>
      <c r="B182" s="680"/>
      <c r="C182" s="327" t="s">
        <v>7</v>
      </c>
      <c r="D182" s="189">
        <v>1155.5999999999999</v>
      </c>
      <c r="E182" s="189">
        <v>1039.1199999999999</v>
      </c>
      <c r="F182" s="190">
        <f t="shared" si="18"/>
        <v>0.89920387677397018</v>
      </c>
      <c r="G182" s="683"/>
      <c r="H182" s="683"/>
      <c r="I182" s="683"/>
      <c r="J182" s="683"/>
      <c r="K182" s="685" t="e">
        <f>(K180+K181/2)/K179</f>
        <v>#REF!</v>
      </c>
      <c r="L182" s="680"/>
      <c r="M182" s="677"/>
    </row>
    <row r="183" spans="1:13" s="208" customFormat="1" ht="21" customHeight="1" outlineLevel="1" x14ac:dyDescent="0.25">
      <c r="A183" s="675" t="s">
        <v>204</v>
      </c>
      <c r="B183" s="678" t="s">
        <v>1066</v>
      </c>
      <c r="C183" s="327" t="s">
        <v>3</v>
      </c>
      <c r="D183" s="189">
        <f>SUM(D184:D186)</f>
        <v>115057</v>
      </c>
      <c r="E183" s="189">
        <f>SUM(E184:E186)</f>
        <v>178846.65848000001</v>
      </c>
      <c r="F183" s="190">
        <f t="shared" si="18"/>
        <v>1.5544178840053191</v>
      </c>
      <c r="G183" s="681">
        <f>SUM(H183:J186)</f>
        <v>4</v>
      </c>
      <c r="H183" s="681">
        <v>4</v>
      </c>
      <c r="I183" s="681">
        <v>0</v>
      </c>
      <c r="J183" s="681">
        <v>0</v>
      </c>
      <c r="K183" s="684">
        <f>(H183+I183/2)/G183</f>
        <v>1</v>
      </c>
      <c r="L183" s="693" t="s">
        <v>1067</v>
      </c>
      <c r="M183" s="678" t="s">
        <v>1299</v>
      </c>
    </row>
    <row r="184" spans="1:13" s="208" customFormat="1" ht="21" customHeight="1" outlineLevel="1" x14ac:dyDescent="0.25">
      <c r="A184" s="676"/>
      <c r="B184" s="679"/>
      <c r="C184" s="327" t="s">
        <v>4</v>
      </c>
      <c r="D184" s="189">
        <v>44290</v>
      </c>
      <c r="E184" s="189">
        <v>28800.858480000003</v>
      </c>
      <c r="F184" s="190">
        <f t="shared" si="18"/>
        <v>0.65027903544818244</v>
      </c>
      <c r="G184" s="682"/>
      <c r="H184" s="682"/>
      <c r="I184" s="682"/>
      <c r="J184" s="682"/>
      <c r="K184" s="649"/>
      <c r="L184" s="652"/>
      <c r="M184" s="679"/>
    </row>
    <row r="185" spans="1:13" s="208" customFormat="1" ht="21" customHeight="1" outlineLevel="1" x14ac:dyDescent="0.25">
      <c r="A185" s="676"/>
      <c r="B185" s="679"/>
      <c r="C185" s="327" t="s">
        <v>5</v>
      </c>
      <c r="D185" s="189">
        <v>767</v>
      </c>
      <c r="E185" s="189">
        <v>745.8</v>
      </c>
      <c r="F185" s="190">
        <f t="shared" si="18"/>
        <v>0.97235984354628413</v>
      </c>
      <c r="G185" s="682"/>
      <c r="H185" s="682"/>
      <c r="I185" s="682"/>
      <c r="J185" s="682"/>
      <c r="K185" s="649"/>
      <c r="L185" s="652"/>
      <c r="M185" s="679"/>
    </row>
    <row r="186" spans="1:13" s="208" customFormat="1" ht="21" customHeight="1" outlineLevel="1" x14ac:dyDescent="0.25">
      <c r="A186" s="677"/>
      <c r="B186" s="680"/>
      <c r="C186" s="327" t="s">
        <v>7</v>
      </c>
      <c r="D186" s="189">
        <v>70000</v>
      </c>
      <c r="E186" s="189">
        <v>149300</v>
      </c>
      <c r="F186" s="190">
        <f t="shared" si="18"/>
        <v>2.132857142857143</v>
      </c>
      <c r="G186" s="683"/>
      <c r="H186" s="683"/>
      <c r="I186" s="683"/>
      <c r="J186" s="683"/>
      <c r="K186" s="685"/>
      <c r="L186" s="787"/>
      <c r="M186" s="680"/>
    </row>
    <row r="187" spans="1:13" s="208" customFormat="1" ht="21" customHeight="1" outlineLevel="1" x14ac:dyDescent="0.25">
      <c r="A187" s="675" t="s">
        <v>206</v>
      </c>
      <c r="B187" s="693" t="s">
        <v>1068</v>
      </c>
      <c r="C187" s="327" t="s">
        <v>3</v>
      </c>
      <c r="D187" s="189">
        <f>SUM(D188:D188)</f>
        <v>228639.897</v>
      </c>
      <c r="E187" s="189">
        <f>SUM(E188:E188)</f>
        <v>206923.27131000001</v>
      </c>
      <c r="F187" s="190">
        <f t="shared" si="18"/>
        <v>0.90501821434078067</v>
      </c>
      <c r="G187" s="681">
        <f>SUM(H187:J187)</f>
        <v>9</v>
      </c>
      <c r="H187" s="681">
        <v>6</v>
      </c>
      <c r="I187" s="681">
        <v>3</v>
      </c>
      <c r="J187" s="681">
        <v>0</v>
      </c>
      <c r="K187" s="684">
        <f>(H187+I187/2)/G187</f>
        <v>0.83333333333333337</v>
      </c>
      <c r="L187" s="693" t="s">
        <v>155</v>
      </c>
      <c r="M187" s="693" t="s">
        <v>1724</v>
      </c>
    </row>
    <row r="188" spans="1:13" s="208" customFormat="1" ht="50.25" customHeight="1" outlineLevel="1" x14ac:dyDescent="0.25">
      <c r="A188" s="676"/>
      <c r="B188" s="652"/>
      <c r="C188" s="327" t="s">
        <v>4</v>
      </c>
      <c r="D188" s="189">
        <v>228639.897</v>
      </c>
      <c r="E188" s="189">
        <v>206923.27131000001</v>
      </c>
      <c r="F188" s="190">
        <f t="shared" si="18"/>
        <v>0.90501821434078067</v>
      </c>
      <c r="G188" s="682"/>
      <c r="H188" s="682"/>
      <c r="I188" s="682"/>
      <c r="J188" s="682"/>
      <c r="K188" s="649"/>
      <c r="L188" s="652"/>
      <c r="M188" s="652"/>
    </row>
    <row r="189" spans="1:13" s="208" customFormat="1" ht="43.5" customHeight="1" outlineLevel="1" x14ac:dyDescent="0.25">
      <c r="A189" s="675" t="s">
        <v>208</v>
      </c>
      <c r="B189" s="678" t="s">
        <v>1069</v>
      </c>
      <c r="C189" s="327" t="s">
        <v>3</v>
      </c>
      <c r="D189" s="189">
        <f>SUM(D190:D190)</f>
        <v>48038.8</v>
      </c>
      <c r="E189" s="189">
        <f>SUM(E190:E190)</f>
        <v>47588.120900000002</v>
      </c>
      <c r="F189" s="190">
        <f t="shared" si="18"/>
        <v>0.99061843551462569</v>
      </c>
      <c r="G189" s="681">
        <f>SUM(H189:J190)</f>
        <v>1</v>
      </c>
      <c r="H189" s="681">
        <v>1</v>
      </c>
      <c r="I189" s="681">
        <v>0</v>
      </c>
      <c r="J189" s="681">
        <v>0</v>
      </c>
      <c r="K189" s="684">
        <f>(H189+I189/2)/G189</f>
        <v>1</v>
      </c>
      <c r="L189" s="678" t="s">
        <v>962</v>
      </c>
      <c r="M189" s="675" t="s">
        <v>41</v>
      </c>
    </row>
    <row r="190" spans="1:13" s="208" customFormat="1" ht="48.75" customHeight="1" outlineLevel="1" x14ac:dyDescent="0.25">
      <c r="A190" s="676"/>
      <c r="B190" s="679"/>
      <c r="C190" s="327" t="s">
        <v>4</v>
      </c>
      <c r="D190" s="189">
        <v>48038.8</v>
      </c>
      <c r="E190" s="189">
        <v>47588.120900000002</v>
      </c>
      <c r="F190" s="190">
        <f t="shared" si="18"/>
        <v>0.99061843551462569</v>
      </c>
      <c r="G190" s="682"/>
      <c r="H190" s="682"/>
      <c r="I190" s="682"/>
      <c r="J190" s="682"/>
      <c r="K190" s="649" t="e">
        <f>(#REF!+#REF!/2)/#REF!</f>
        <v>#REF!</v>
      </c>
      <c r="L190" s="679"/>
      <c r="M190" s="676"/>
    </row>
    <row r="191" spans="1:13" s="208" customFormat="1" ht="27.75" customHeight="1" outlineLevel="1" x14ac:dyDescent="0.25">
      <c r="A191" s="796" t="s">
        <v>210</v>
      </c>
      <c r="B191" s="693" t="s">
        <v>1070</v>
      </c>
      <c r="C191" s="327" t="s">
        <v>3</v>
      </c>
      <c r="D191" s="189">
        <f>SUM(D192:D195)</f>
        <v>226415.91124000002</v>
      </c>
      <c r="E191" s="189">
        <f>SUM(E192:E195)</f>
        <v>226415.87518000003</v>
      </c>
      <c r="F191" s="190">
        <f t="shared" si="18"/>
        <v>0.99999984073557469</v>
      </c>
      <c r="G191" s="800">
        <f>SUM(H191:J191)</f>
        <v>3</v>
      </c>
      <c r="H191" s="800">
        <v>3</v>
      </c>
      <c r="I191" s="800">
        <v>0</v>
      </c>
      <c r="J191" s="800">
        <v>0</v>
      </c>
      <c r="K191" s="778">
        <f>(H191+I191/2)/G191</f>
        <v>1</v>
      </c>
      <c r="L191" s="693" t="s">
        <v>1300</v>
      </c>
      <c r="M191" s="675" t="s">
        <v>41</v>
      </c>
    </row>
    <row r="192" spans="1:13" s="208" customFormat="1" ht="27.75" customHeight="1" outlineLevel="1" x14ac:dyDescent="0.25">
      <c r="A192" s="796"/>
      <c r="B192" s="652"/>
      <c r="C192" s="327" t="s">
        <v>4</v>
      </c>
      <c r="D192" s="189">
        <v>41349.819180000006</v>
      </c>
      <c r="E192" s="189">
        <v>41349.819180000006</v>
      </c>
      <c r="F192" s="190">
        <f t="shared" si="18"/>
        <v>1</v>
      </c>
      <c r="G192" s="800"/>
      <c r="H192" s="800"/>
      <c r="I192" s="800"/>
      <c r="J192" s="800"/>
      <c r="K192" s="778"/>
      <c r="L192" s="652"/>
      <c r="M192" s="676"/>
    </row>
    <row r="193" spans="1:13" s="208" customFormat="1" ht="27.75" customHeight="1" outlineLevel="1" x14ac:dyDescent="0.25">
      <c r="A193" s="796"/>
      <c r="B193" s="652"/>
      <c r="C193" s="327" t="s">
        <v>5</v>
      </c>
      <c r="D193" s="189">
        <v>154623.73606</v>
      </c>
      <c r="E193" s="189">
        <v>154623.66</v>
      </c>
      <c r="F193" s="190">
        <f t="shared" si="18"/>
        <v>0.99999950809622162</v>
      </c>
      <c r="G193" s="800"/>
      <c r="H193" s="800"/>
      <c r="I193" s="800"/>
      <c r="J193" s="800"/>
      <c r="K193" s="778"/>
      <c r="L193" s="652"/>
      <c r="M193" s="676"/>
    </row>
    <row r="194" spans="1:13" s="208" customFormat="1" ht="27.75" customHeight="1" outlineLevel="1" x14ac:dyDescent="0.25">
      <c r="A194" s="796"/>
      <c r="B194" s="652"/>
      <c r="C194" s="327" t="s">
        <v>6</v>
      </c>
      <c r="D194" s="189">
        <v>11307.356</v>
      </c>
      <c r="E194" s="189">
        <v>11307.396000000001</v>
      </c>
      <c r="F194" s="190">
        <f t="shared" si="18"/>
        <v>1.0000035375201772</v>
      </c>
      <c r="G194" s="800"/>
      <c r="H194" s="800"/>
      <c r="I194" s="800"/>
      <c r="J194" s="800"/>
      <c r="K194" s="778"/>
      <c r="L194" s="652"/>
      <c r="M194" s="676"/>
    </row>
    <row r="195" spans="1:13" s="208" customFormat="1" ht="27.75" customHeight="1" outlineLevel="1" x14ac:dyDescent="0.25">
      <c r="A195" s="796"/>
      <c r="B195" s="787"/>
      <c r="C195" s="327" t="s">
        <v>7</v>
      </c>
      <c r="D195" s="189">
        <v>19135</v>
      </c>
      <c r="E195" s="189">
        <v>19135</v>
      </c>
      <c r="F195" s="190">
        <f t="shared" si="18"/>
        <v>1</v>
      </c>
      <c r="G195" s="800"/>
      <c r="H195" s="800"/>
      <c r="I195" s="800"/>
      <c r="J195" s="800"/>
      <c r="K195" s="778"/>
      <c r="L195" s="787"/>
      <c r="M195" s="677"/>
    </row>
    <row r="196" spans="1:13" ht="29.25" customHeight="1" x14ac:dyDescent="0.25">
      <c r="A196" s="754" t="s">
        <v>1498</v>
      </c>
      <c r="B196" s="716" t="s">
        <v>1292</v>
      </c>
      <c r="C196" s="175" t="s">
        <v>3</v>
      </c>
      <c r="D196" s="176">
        <f>SUM(D197:D199)</f>
        <v>11693199.259730002</v>
      </c>
      <c r="E196" s="176">
        <f>SUM(E197:E199)</f>
        <v>10743193.8891</v>
      </c>
      <c r="F196" s="406">
        <f t="shared" si="16"/>
        <v>0.91875573574618641</v>
      </c>
      <c r="G196" s="763">
        <f>SUM(G200:G208)</f>
        <v>72</v>
      </c>
      <c r="H196" s="763">
        <f>SUM(H200:H208)</f>
        <v>48</v>
      </c>
      <c r="I196" s="763">
        <f>SUM(I200:I208)</f>
        <v>14</v>
      </c>
      <c r="J196" s="763">
        <f>SUM(J200:J208)</f>
        <v>10</v>
      </c>
      <c r="K196" s="692">
        <f>(H196+I196/2)/G196</f>
        <v>0.76388888888888884</v>
      </c>
      <c r="L196" s="736" t="s">
        <v>1297</v>
      </c>
      <c r="M196" s="697"/>
    </row>
    <row r="197" spans="1:13" ht="29.25" customHeight="1" x14ac:dyDescent="0.25">
      <c r="A197" s="658"/>
      <c r="B197" s="717"/>
      <c r="C197" s="178" t="s">
        <v>4</v>
      </c>
      <c r="D197" s="179">
        <f>D201+D205+D207+D208</f>
        <v>10347643.367640002</v>
      </c>
      <c r="E197" s="179">
        <f>E201+E205+E207+E208</f>
        <v>9397668.7303899992</v>
      </c>
      <c r="F197" s="405">
        <f t="shared" si="16"/>
        <v>0.90819410724756511</v>
      </c>
      <c r="G197" s="664"/>
      <c r="H197" s="664"/>
      <c r="I197" s="664"/>
      <c r="J197" s="664"/>
      <c r="K197" s="667" t="e">
        <f>(#REF!+#REF!/2)/#REF!</f>
        <v>#REF!</v>
      </c>
      <c r="L197" s="737"/>
      <c r="M197" s="698"/>
    </row>
    <row r="198" spans="1:13" ht="29.25" customHeight="1" x14ac:dyDescent="0.25">
      <c r="A198" s="658"/>
      <c r="B198" s="717"/>
      <c r="C198" s="178" t="s">
        <v>5</v>
      </c>
      <c r="D198" s="179">
        <f>D202</f>
        <v>1277976.8999999999</v>
      </c>
      <c r="E198" s="179">
        <f>E202</f>
        <v>1277976.0988799999</v>
      </c>
      <c r="F198" s="405">
        <f t="shared" si="16"/>
        <v>0.99999937313420928</v>
      </c>
      <c r="G198" s="664"/>
      <c r="H198" s="664"/>
      <c r="I198" s="664"/>
      <c r="J198" s="664"/>
      <c r="K198" s="667"/>
      <c r="L198" s="737"/>
      <c r="M198" s="698"/>
    </row>
    <row r="199" spans="1:13" ht="29.25" customHeight="1" x14ac:dyDescent="0.25">
      <c r="A199" s="786"/>
      <c r="B199" s="718"/>
      <c r="C199" s="178" t="s">
        <v>6</v>
      </c>
      <c r="D199" s="179">
        <f>D203+D206</f>
        <v>67578.99209</v>
      </c>
      <c r="E199" s="179">
        <f>E203+E206</f>
        <v>67549.059829999998</v>
      </c>
      <c r="F199" s="405">
        <f t="shared" si="16"/>
        <v>0.99955707744264466</v>
      </c>
      <c r="G199" s="764"/>
      <c r="H199" s="764"/>
      <c r="I199" s="764"/>
      <c r="J199" s="764"/>
      <c r="K199" s="765" t="e">
        <f>(K196+K197/2)/#REF!</f>
        <v>#REF!</v>
      </c>
      <c r="L199" s="738"/>
      <c r="M199" s="699"/>
    </row>
    <row r="200" spans="1:13" s="208" customFormat="1" ht="33" customHeight="1" outlineLevel="1" x14ac:dyDescent="0.25">
      <c r="A200" s="675" t="s">
        <v>213</v>
      </c>
      <c r="B200" s="678" t="s">
        <v>1071</v>
      </c>
      <c r="C200" s="327" t="s">
        <v>3</v>
      </c>
      <c r="D200" s="189">
        <f>SUM(D201:D203)</f>
        <v>7403554.0567100001</v>
      </c>
      <c r="E200" s="189">
        <f>SUM(E201:E203)</f>
        <v>6550867.3334199982</v>
      </c>
      <c r="F200" s="190">
        <f t="shared" si="16"/>
        <v>0.8848273792885738</v>
      </c>
      <c r="G200" s="681">
        <f>SUM(H200:J203)</f>
        <v>47</v>
      </c>
      <c r="H200" s="681">
        <v>26</v>
      </c>
      <c r="I200" s="681">
        <v>12</v>
      </c>
      <c r="J200" s="681">
        <v>9</v>
      </c>
      <c r="K200" s="684">
        <f>(H200+I200/2)/G200</f>
        <v>0.68085106382978722</v>
      </c>
      <c r="L200" s="678" t="s">
        <v>1294</v>
      </c>
      <c r="M200" s="678" t="s">
        <v>1293</v>
      </c>
    </row>
    <row r="201" spans="1:13" s="208" customFormat="1" ht="33" customHeight="1" outlineLevel="1" x14ac:dyDescent="0.25">
      <c r="A201" s="676"/>
      <c r="B201" s="679"/>
      <c r="C201" s="327" t="s">
        <v>4</v>
      </c>
      <c r="D201" s="210">
        <v>6063856.3495899998</v>
      </c>
      <c r="E201" s="189">
        <v>5211170.4274199987</v>
      </c>
      <c r="F201" s="190">
        <f t="shared" si="16"/>
        <v>0.85938223582297524</v>
      </c>
      <c r="G201" s="682"/>
      <c r="H201" s="682"/>
      <c r="I201" s="682"/>
      <c r="J201" s="682"/>
      <c r="K201" s="649" t="e">
        <f>(#REF!+#REF!/2)/#REF!</f>
        <v>#REF!</v>
      </c>
      <c r="L201" s="679"/>
      <c r="M201" s="679"/>
    </row>
    <row r="202" spans="1:13" s="208" customFormat="1" ht="33" customHeight="1" outlineLevel="1" x14ac:dyDescent="0.25">
      <c r="A202" s="676"/>
      <c r="B202" s="679"/>
      <c r="C202" s="327" t="s">
        <v>5</v>
      </c>
      <c r="D202" s="189">
        <v>1277976.8999999999</v>
      </c>
      <c r="E202" s="189">
        <v>1277976.0988799999</v>
      </c>
      <c r="F202" s="190">
        <f>E202/D202</f>
        <v>0.99999937313420928</v>
      </c>
      <c r="G202" s="682"/>
      <c r="H202" s="682"/>
      <c r="I202" s="682"/>
      <c r="J202" s="682"/>
      <c r="K202" s="649"/>
      <c r="L202" s="679"/>
      <c r="M202" s="679"/>
    </row>
    <row r="203" spans="1:13" s="208" customFormat="1" ht="33" customHeight="1" outlineLevel="1" x14ac:dyDescent="0.25">
      <c r="A203" s="677"/>
      <c r="B203" s="680"/>
      <c r="C203" s="327" t="s">
        <v>6</v>
      </c>
      <c r="D203" s="189">
        <v>61720.807119999998</v>
      </c>
      <c r="E203" s="189">
        <v>61720.807119999998</v>
      </c>
      <c r="F203" s="190">
        <f>E203/D203</f>
        <v>1</v>
      </c>
      <c r="G203" s="683"/>
      <c r="H203" s="683"/>
      <c r="I203" s="683"/>
      <c r="J203" s="683"/>
      <c r="K203" s="685"/>
      <c r="L203" s="680"/>
      <c r="M203" s="680"/>
    </row>
    <row r="204" spans="1:13" s="208" customFormat="1" ht="48" customHeight="1" outlineLevel="1" x14ac:dyDescent="0.25">
      <c r="A204" s="811" t="s">
        <v>214</v>
      </c>
      <c r="B204" s="678" t="s">
        <v>1072</v>
      </c>
      <c r="C204" s="327" t="s">
        <v>3</v>
      </c>
      <c r="D204" s="189">
        <f>SUM(D205:D206)</f>
        <v>3633348.9044600003</v>
      </c>
      <c r="E204" s="189">
        <f>SUM(E205:E206)</f>
        <v>3587078.8947399999</v>
      </c>
      <c r="F204" s="190">
        <f t="shared" si="16"/>
        <v>0.9872651895161505</v>
      </c>
      <c r="G204" s="681">
        <f>SUM(H204:J206)</f>
        <v>11</v>
      </c>
      <c r="H204" s="681">
        <v>11</v>
      </c>
      <c r="I204" s="681">
        <v>0</v>
      </c>
      <c r="J204" s="681">
        <v>0</v>
      </c>
      <c r="K204" s="684">
        <f>(H204+I204/2)/G204</f>
        <v>1</v>
      </c>
      <c r="L204" s="678" t="s">
        <v>1295</v>
      </c>
      <c r="M204" s="675" t="s">
        <v>41</v>
      </c>
    </row>
    <row r="205" spans="1:13" s="208" customFormat="1" ht="40.5" customHeight="1" outlineLevel="1" x14ac:dyDescent="0.25">
      <c r="A205" s="812"/>
      <c r="B205" s="679"/>
      <c r="C205" s="327" t="s">
        <v>4</v>
      </c>
      <c r="D205" s="189">
        <v>3627490.7194900005</v>
      </c>
      <c r="E205" s="189">
        <v>3581250.6420299998</v>
      </c>
      <c r="F205" s="190">
        <f t="shared" si="16"/>
        <v>0.98725287504898107</v>
      </c>
      <c r="G205" s="682"/>
      <c r="H205" s="682"/>
      <c r="I205" s="682"/>
      <c r="J205" s="682"/>
      <c r="K205" s="649" t="e">
        <f>(#REF!+#REF!/2)/#REF!</f>
        <v>#REF!</v>
      </c>
      <c r="L205" s="679"/>
      <c r="M205" s="676"/>
    </row>
    <row r="206" spans="1:13" s="208" customFormat="1" ht="33" customHeight="1" outlineLevel="1" x14ac:dyDescent="0.25">
      <c r="A206" s="813"/>
      <c r="B206" s="680"/>
      <c r="C206" s="327" t="s">
        <v>6</v>
      </c>
      <c r="D206" s="189">
        <v>5858.1849700000002</v>
      </c>
      <c r="E206" s="189">
        <v>5828.2527100000007</v>
      </c>
      <c r="F206" s="190">
        <f t="shared" si="16"/>
        <v>0.9948905232331714</v>
      </c>
      <c r="G206" s="683"/>
      <c r="H206" s="683"/>
      <c r="I206" s="683"/>
      <c r="J206" s="683"/>
      <c r="K206" s="685" t="e">
        <f>(K204+K205/2)/#REF!</f>
        <v>#REF!</v>
      </c>
      <c r="L206" s="680"/>
      <c r="M206" s="677"/>
    </row>
    <row r="207" spans="1:13" s="208" customFormat="1" ht="81" customHeight="1" outlineLevel="1" x14ac:dyDescent="0.25">
      <c r="A207" s="327" t="s">
        <v>215</v>
      </c>
      <c r="B207" s="209" t="s">
        <v>221</v>
      </c>
      <c r="C207" s="327" t="s">
        <v>4</v>
      </c>
      <c r="D207" s="189">
        <v>132895.59961</v>
      </c>
      <c r="E207" s="189">
        <v>96469.748560000007</v>
      </c>
      <c r="F207" s="190">
        <f t="shared" si="16"/>
        <v>0.72590626659651225</v>
      </c>
      <c r="G207" s="324">
        <f>SUM(H207:J207)</f>
        <v>10</v>
      </c>
      <c r="H207" s="324">
        <v>7</v>
      </c>
      <c r="I207" s="324">
        <v>2</v>
      </c>
      <c r="J207" s="324">
        <v>1</v>
      </c>
      <c r="K207" s="325">
        <f>(H207+I207/2)/G207</f>
        <v>0.8</v>
      </c>
      <c r="L207" s="323" t="s">
        <v>1296</v>
      </c>
      <c r="M207" s="326" t="s">
        <v>1780</v>
      </c>
    </row>
    <row r="208" spans="1:13" s="208" customFormat="1" ht="137.25" customHeight="1" outlineLevel="1" x14ac:dyDescent="0.25">
      <c r="A208" s="327" t="s">
        <v>216</v>
      </c>
      <c r="B208" s="209" t="s">
        <v>189</v>
      </c>
      <c r="C208" s="327" t="s">
        <v>4</v>
      </c>
      <c r="D208" s="189">
        <v>523400.69894999999</v>
      </c>
      <c r="E208" s="189">
        <v>508777.91237999999</v>
      </c>
      <c r="F208" s="190">
        <f t="shared" si="16"/>
        <v>0.97206196590999028</v>
      </c>
      <c r="G208" s="324">
        <f>SUM(H208:J208)</f>
        <v>4</v>
      </c>
      <c r="H208" s="324">
        <v>4</v>
      </c>
      <c r="I208" s="324">
        <v>0</v>
      </c>
      <c r="J208" s="324">
        <v>0</v>
      </c>
      <c r="K208" s="325">
        <f>(H208+I208/2)/G208</f>
        <v>1</v>
      </c>
      <c r="L208" s="323" t="s">
        <v>1073</v>
      </c>
      <c r="M208" s="438" t="s">
        <v>41</v>
      </c>
    </row>
    <row r="209" spans="1:13" ht="30" customHeight="1" x14ac:dyDescent="0.25">
      <c r="A209" s="754" t="s">
        <v>217</v>
      </c>
      <c r="B209" s="791" t="s">
        <v>965</v>
      </c>
      <c r="C209" s="175" t="s">
        <v>3</v>
      </c>
      <c r="D209" s="176">
        <f>SUM(D210:D212)</f>
        <v>3227349.3878800003</v>
      </c>
      <c r="E209" s="176">
        <f>SUM(E210:E212)</f>
        <v>845716.67293</v>
      </c>
      <c r="F209" s="406">
        <f t="shared" si="16"/>
        <v>0.26204682892593145</v>
      </c>
      <c r="G209" s="690">
        <f>SUM(G213:G226)</f>
        <v>49</v>
      </c>
      <c r="H209" s="690">
        <f>SUM(H213:H226)</f>
        <v>46</v>
      </c>
      <c r="I209" s="690">
        <f>SUM(I213:I226)</f>
        <v>2</v>
      </c>
      <c r="J209" s="690">
        <f>SUM(J213:J226)</f>
        <v>1</v>
      </c>
      <c r="K209" s="692">
        <f>(H209+I209/2)/G209</f>
        <v>0.95918367346938771</v>
      </c>
      <c r="L209" s="688" t="s">
        <v>1586</v>
      </c>
      <c r="M209" s="686"/>
    </row>
    <row r="210" spans="1:13" ht="30" customHeight="1" x14ac:dyDescent="0.25">
      <c r="A210" s="658"/>
      <c r="B210" s="661"/>
      <c r="C210" s="178" t="s">
        <v>4</v>
      </c>
      <c r="D210" s="179">
        <f>D214+D216+D220+D224+D226</f>
        <v>2535739.5178800002</v>
      </c>
      <c r="E210" s="179">
        <f>E214+E216+E220+E224+E226</f>
        <v>754050.67293</v>
      </c>
      <c r="F210" s="405">
        <f t="shared" si="16"/>
        <v>0.29736913733174869</v>
      </c>
      <c r="G210" s="691"/>
      <c r="H210" s="691"/>
      <c r="I210" s="691"/>
      <c r="J210" s="691"/>
      <c r="K210" s="667"/>
      <c r="L210" s="689"/>
      <c r="M210" s="687"/>
    </row>
    <row r="211" spans="1:13" ht="30" customHeight="1" x14ac:dyDescent="0.25">
      <c r="A211" s="658"/>
      <c r="B211" s="661"/>
      <c r="C211" s="178" t="s">
        <v>5</v>
      </c>
      <c r="D211" s="179">
        <f>D217+D221</f>
        <v>91589.5</v>
      </c>
      <c r="E211" s="179">
        <f>E217+E221</f>
        <v>91589.5</v>
      </c>
      <c r="F211" s="405">
        <f t="shared" si="16"/>
        <v>1</v>
      </c>
      <c r="G211" s="691"/>
      <c r="H211" s="691"/>
      <c r="I211" s="691"/>
      <c r="J211" s="691"/>
      <c r="K211" s="667"/>
      <c r="L211" s="689"/>
      <c r="M211" s="687"/>
    </row>
    <row r="212" spans="1:13" ht="30" customHeight="1" x14ac:dyDescent="0.25">
      <c r="A212" s="658"/>
      <c r="B212" s="661"/>
      <c r="C212" s="178" t="s">
        <v>7</v>
      </c>
      <c r="D212" s="179">
        <f>D218+D222</f>
        <v>600020.37</v>
      </c>
      <c r="E212" s="179">
        <f>E218+E222</f>
        <v>76.5</v>
      </c>
      <c r="F212" s="405">
        <f t="shared" ref="F212:F253" si="19">E212/D212</f>
        <v>1.2749567152195183E-4</v>
      </c>
      <c r="G212" s="691"/>
      <c r="H212" s="691"/>
      <c r="I212" s="691"/>
      <c r="J212" s="691"/>
      <c r="K212" s="667"/>
      <c r="L212" s="689"/>
      <c r="M212" s="687"/>
    </row>
    <row r="213" spans="1:13" ht="41.25" customHeight="1" outlineLevel="1" x14ac:dyDescent="0.25">
      <c r="A213" s="675" t="s">
        <v>218</v>
      </c>
      <c r="B213" s="693" t="s">
        <v>966</v>
      </c>
      <c r="C213" s="327" t="s">
        <v>3</v>
      </c>
      <c r="D213" s="189">
        <f>SUM(D214:D214)</f>
        <v>485268.07426999998</v>
      </c>
      <c r="E213" s="189">
        <f>SUM(E214:E214)</f>
        <v>118213.10108000001</v>
      </c>
      <c r="F213" s="190">
        <f>E213/D213</f>
        <v>0.24360370555559568</v>
      </c>
      <c r="G213" s="814">
        <f>SUM(H213:J213)</f>
        <v>8</v>
      </c>
      <c r="H213" s="814">
        <v>8</v>
      </c>
      <c r="I213" s="814">
        <v>0</v>
      </c>
      <c r="J213" s="814">
        <v>0</v>
      </c>
      <c r="K213" s="684">
        <f>(H213+I213/2)/G213</f>
        <v>1</v>
      </c>
      <c r="L213" s="693" t="s">
        <v>1580</v>
      </c>
      <c r="M213" s="694" t="s">
        <v>1581</v>
      </c>
    </row>
    <row r="214" spans="1:13" ht="76.5" customHeight="1" outlineLevel="1" x14ac:dyDescent="0.25">
      <c r="A214" s="676"/>
      <c r="B214" s="652"/>
      <c r="C214" s="327" t="s">
        <v>4</v>
      </c>
      <c r="D214" s="189">
        <v>485268.07426999998</v>
      </c>
      <c r="E214" s="189">
        <v>118213.10108000001</v>
      </c>
      <c r="F214" s="190">
        <f t="shared" ref="F214" si="20">E214/D214</f>
        <v>0.24360370555559568</v>
      </c>
      <c r="G214" s="815"/>
      <c r="H214" s="815"/>
      <c r="I214" s="815"/>
      <c r="J214" s="815"/>
      <c r="K214" s="649"/>
      <c r="L214" s="652"/>
      <c r="M214" s="695"/>
    </row>
    <row r="215" spans="1:13" ht="33" customHeight="1" outlineLevel="1" x14ac:dyDescent="0.25">
      <c r="A215" s="675" t="s">
        <v>219</v>
      </c>
      <c r="B215" s="678" t="s">
        <v>10</v>
      </c>
      <c r="C215" s="327" t="s">
        <v>3</v>
      </c>
      <c r="D215" s="189">
        <f>SUM(D216:D218)</f>
        <v>294808.60647999996</v>
      </c>
      <c r="E215" s="189">
        <f>SUM(E216:E218)</f>
        <v>238804.32178000003</v>
      </c>
      <c r="F215" s="190">
        <f t="shared" si="19"/>
        <v>0.81003171729384604</v>
      </c>
      <c r="G215" s="814">
        <f>SUM(H215:J218)</f>
        <v>19</v>
      </c>
      <c r="H215" s="814">
        <v>17</v>
      </c>
      <c r="I215" s="814">
        <v>2</v>
      </c>
      <c r="J215" s="814">
        <v>0</v>
      </c>
      <c r="K215" s="684">
        <f>(H215+I215/2)/G215</f>
        <v>0.94736842105263153</v>
      </c>
      <c r="L215" s="678" t="s">
        <v>1231</v>
      </c>
      <c r="M215" s="678" t="s">
        <v>1582</v>
      </c>
    </row>
    <row r="216" spans="1:13" ht="33" customHeight="1" outlineLevel="1" x14ac:dyDescent="0.25">
      <c r="A216" s="676"/>
      <c r="B216" s="679"/>
      <c r="C216" s="327" t="s">
        <v>4</v>
      </c>
      <c r="D216" s="189">
        <v>259730.50647999998</v>
      </c>
      <c r="E216" s="189">
        <v>203726.22178000002</v>
      </c>
      <c r="F216" s="190">
        <f t="shared" si="19"/>
        <v>0.78437540719032761</v>
      </c>
      <c r="G216" s="815"/>
      <c r="H216" s="815"/>
      <c r="I216" s="815"/>
      <c r="J216" s="815"/>
      <c r="K216" s="649" t="e">
        <f>(#REF!+#REF!/2)/#REF!</f>
        <v>#REF!</v>
      </c>
      <c r="L216" s="679"/>
      <c r="M216" s="679"/>
    </row>
    <row r="217" spans="1:13" ht="33" customHeight="1" outlineLevel="1" x14ac:dyDescent="0.25">
      <c r="A217" s="676"/>
      <c r="B217" s="679"/>
      <c r="C217" s="327" t="s">
        <v>5</v>
      </c>
      <c r="D217" s="189">
        <v>35001.599999999999</v>
      </c>
      <c r="E217" s="189">
        <v>35001.599999999999</v>
      </c>
      <c r="F217" s="190">
        <f t="shared" si="19"/>
        <v>1</v>
      </c>
      <c r="G217" s="815"/>
      <c r="H217" s="815"/>
      <c r="I217" s="815"/>
      <c r="J217" s="815"/>
      <c r="K217" s="649"/>
      <c r="L217" s="679"/>
      <c r="M217" s="679"/>
    </row>
    <row r="218" spans="1:13" ht="33" customHeight="1" outlineLevel="1" x14ac:dyDescent="0.25">
      <c r="A218" s="677"/>
      <c r="B218" s="680"/>
      <c r="C218" s="327" t="s">
        <v>7</v>
      </c>
      <c r="D218" s="189">
        <v>76.5</v>
      </c>
      <c r="E218" s="189">
        <v>76.5</v>
      </c>
      <c r="F218" s="190">
        <f t="shared" si="19"/>
        <v>1</v>
      </c>
      <c r="G218" s="816"/>
      <c r="H218" s="816"/>
      <c r="I218" s="816"/>
      <c r="J218" s="816"/>
      <c r="K218" s="685" t="e">
        <f>(#REF!+K215/2)/#REF!</f>
        <v>#REF!</v>
      </c>
      <c r="L218" s="680"/>
      <c r="M218" s="680"/>
    </row>
    <row r="219" spans="1:13" ht="31.5" customHeight="1" outlineLevel="1" x14ac:dyDescent="0.25">
      <c r="A219" s="675" t="s">
        <v>220</v>
      </c>
      <c r="B219" s="693" t="s">
        <v>1015</v>
      </c>
      <c r="C219" s="422" t="s">
        <v>3</v>
      </c>
      <c r="D219" s="189">
        <f>SUM(D220:D222)</f>
        <v>2049308.1439999999</v>
      </c>
      <c r="E219" s="189">
        <f>SUM(E220:E222)</f>
        <v>104518.85362000001</v>
      </c>
      <c r="F219" s="190">
        <f>E219/D219</f>
        <v>5.1002019352732353E-2</v>
      </c>
      <c r="G219" s="819">
        <f>SUM(H219:J219)</f>
        <v>9</v>
      </c>
      <c r="H219" s="819">
        <v>8</v>
      </c>
      <c r="I219" s="819">
        <v>0</v>
      </c>
      <c r="J219" s="819">
        <v>1</v>
      </c>
      <c r="K219" s="709">
        <f>(H219+I219/2)/G219</f>
        <v>0.88888888888888884</v>
      </c>
      <c r="L219" s="693" t="s">
        <v>1583</v>
      </c>
      <c r="M219" s="802" t="s">
        <v>1584</v>
      </c>
    </row>
    <row r="220" spans="1:13" ht="31.5" customHeight="1" outlineLevel="1" x14ac:dyDescent="0.25">
      <c r="A220" s="676"/>
      <c r="B220" s="652"/>
      <c r="C220" s="422" t="s">
        <v>4</v>
      </c>
      <c r="D220" s="189">
        <v>1392776.3740000001</v>
      </c>
      <c r="E220" s="189">
        <v>47930.95362</v>
      </c>
      <c r="F220" s="190">
        <f t="shared" ref="F220:F221" si="21">E220/D220</f>
        <v>3.4413962294854376E-2</v>
      </c>
      <c r="G220" s="820"/>
      <c r="H220" s="820"/>
      <c r="I220" s="820"/>
      <c r="J220" s="820"/>
      <c r="K220" s="710"/>
      <c r="L220" s="652"/>
      <c r="M220" s="803"/>
    </row>
    <row r="221" spans="1:13" ht="31.5" customHeight="1" outlineLevel="1" x14ac:dyDescent="0.25">
      <c r="A221" s="676"/>
      <c r="B221" s="652"/>
      <c r="C221" s="422" t="s">
        <v>5</v>
      </c>
      <c r="D221" s="189">
        <v>56587.9</v>
      </c>
      <c r="E221" s="189">
        <v>56587.9</v>
      </c>
      <c r="F221" s="190">
        <f t="shared" si="21"/>
        <v>1</v>
      </c>
      <c r="G221" s="820"/>
      <c r="H221" s="820"/>
      <c r="I221" s="820"/>
      <c r="J221" s="820"/>
      <c r="K221" s="710"/>
      <c r="L221" s="652"/>
      <c r="M221" s="803"/>
    </row>
    <row r="222" spans="1:13" ht="55.5" customHeight="1" outlineLevel="1" x14ac:dyDescent="0.25">
      <c r="A222" s="783"/>
      <c r="B222" s="653"/>
      <c r="C222" s="422" t="s">
        <v>7</v>
      </c>
      <c r="D222" s="189">
        <v>599943.87</v>
      </c>
      <c r="E222" s="189">
        <v>0</v>
      </c>
      <c r="F222" s="190">
        <f t="shared" ref="F222" si="22">E222/D222</f>
        <v>0</v>
      </c>
      <c r="G222" s="821"/>
      <c r="H222" s="821"/>
      <c r="I222" s="821"/>
      <c r="J222" s="821"/>
      <c r="K222" s="821"/>
      <c r="L222" s="817"/>
      <c r="M222" s="818"/>
    </row>
    <row r="223" spans="1:13" ht="37.5" customHeight="1" outlineLevel="1" x14ac:dyDescent="0.25">
      <c r="A223" s="675" t="s">
        <v>222</v>
      </c>
      <c r="B223" s="693" t="s">
        <v>1038</v>
      </c>
      <c r="C223" s="327" t="s">
        <v>3</v>
      </c>
      <c r="D223" s="189">
        <f>D224</f>
        <v>25340.315860000002</v>
      </c>
      <c r="E223" s="189">
        <f>E224</f>
        <v>25340.315860000002</v>
      </c>
      <c r="F223" s="190">
        <f t="shared" si="19"/>
        <v>1</v>
      </c>
      <c r="G223" s="814">
        <f>SUM(H223:J223)</f>
        <v>4</v>
      </c>
      <c r="H223" s="814">
        <v>4</v>
      </c>
      <c r="I223" s="814">
        <v>0</v>
      </c>
      <c r="J223" s="814">
        <v>0</v>
      </c>
      <c r="K223" s="684">
        <f>(H223+I223/2)/G223</f>
        <v>1</v>
      </c>
      <c r="L223" s="693" t="s">
        <v>1585</v>
      </c>
      <c r="M223" s="675" t="s">
        <v>41</v>
      </c>
    </row>
    <row r="224" spans="1:13" ht="60.75" customHeight="1" outlineLevel="1" x14ac:dyDescent="0.25">
      <c r="A224" s="676"/>
      <c r="B224" s="652"/>
      <c r="C224" s="327" t="s">
        <v>4</v>
      </c>
      <c r="D224" s="189">
        <v>25340.315860000002</v>
      </c>
      <c r="E224" s="189">
        <v>25340.315860000002</v>
      </c>
      <c r="F224" s="190">
        <f t="shared" si="19"/>
        <v>1</v>
      </c>
      <c r="G224" s="815"/>
      <c r="H224" s="815"/>
      <c r="I224" s="815"/>
      <c r="J224" s="815"/>
      <c r="K224" s="649"/>
      <c r="L224" s="652"/>
      <c r="M224" s="676"/>
    </row>
    <row r="225" spans="1:13" ht="33" customHeight="1" outlineLevel="1" x14ac:dyDescent="0.25">
      <c r="A225" s="796" t="s">
        <v>1499</v>
      </c>
      <c r="B225" s="801" t="s">
        <v>1016</v>
      </c>
      <c r="C225" s="327" t="s">
        <v>3</v>
      </c>
      <c r="D225" s="189">
        <f>SUM(D226:D226)</f>
        <v>372624.24726999999</v>
      </c>
      <c r="E225" s="189">
        <f>SUM(E226:E226)</f>
        <v>358840.08059000003</v>
      </c>
      <c r="F225" s="190">
        <f>E225/D225</f>
        <v>0.96300786440767472</v>
      </c>
      <c r="G225" s="822">
        <f>SUM(H225:J225)</f>
        <v>9</v>
      </c>
      <c r="H225" s="822">
        <v>9</v>
      </c>
      <c r="I225" s="822">
        <v>0</v>
      </c>
      <c r="J225" s="822">
        <v>0</v>
      </c>
      <c r="K225" s="778">
        <f>(H225+I225/2)/G225</f>
        <v>1</v>
      </c>
      <c r="L225" s="801" t="s">
        <v>1559</v>
      </c>
      <c r="M225" s="796" t="s">
        <v>41</v>
      </c>
    </row>
    <row r="226" spans="1:13" ht="42" customHeight="1" outlineLevel="1" x14ac:dyDescent="0.25">
      <c r="A226" s="796"/>
      <c r="B226" s="801"/>
      <c r="C226" s="327" t="s">
        <v>4</v>
      </c>
      <c r="D226" s="189">
        <v>372624.24726999999</v>
      </c>
      <c r="E226" s="189">
        <v>358840.08059000003</v>
      </c>
      <c r="F226" s="190">
        <f t="shared" ref="F226" si="23">E226/D226</f>
        <v>0.96300786440767472</v>
      </c>
      <c r="G226" s="822"/>
      <c r="H226" s="822"/>
      <c r="I226" s="822"/>
      <c r="J226" s="822"/>
      <c r="K226" s="778"/>
      <c r="L226" s="801"/>
      <c r="M226" s="796"/>
    </row>
    <row r="227" spans="1:13" s="181" customFormat="1" ht="57.75" customHeight="1" x14ac:dyDescent="0.25">
      <c r="A227" s="458" t="s">
        <v>223</v>
      </c>
      <c r="B227" s="473" t="s">
        <v>967</v>
      </c>
      <c r="C227" s="175" t="s">
        <v>4</v>
      </c>
      <c r="D227" s="176">
        <f>D228+D229</f>
        <v>1866802.5670099999</v>
      </c>
      <c r="E227" s="176">
        <f>E228+E229</f>
        <v>1846802.9073299998</v>
      </c>
      <c r="F227" s="406">
        <f t="shared" si="19"/>
        <v>0.98928667657017799</v>
      </c>
      <c r="G227" s="459">
        <f>SUM(G228:G229)</f>
        <v>25</v>
      </c>
      <c r="H227" s="459">
        <f>SUM(H228:H229)</f>
        <v>22</v>
      </c>
      <c r="I227" s="459">
        <f>SUM(I228:I229)</f>
        <v>3</v>
      </c>
      <c r="J227" s="459">
        <f>SUM(J228:J229)</f>
        <v>0</v>
      </c>
      <c r="K227" s="460">
        <f>(H227+I227/2)/G227</f>
        <v>0.94</v>
      </c>
      <c r="L227" s="456" t="s">
        <v>1245</v>
      </c>
      <c r="M227" s="462"/>
    </row>
    <row r="228" spans="1:13" s="208" customFormat="1" ht="76.5" customHeight="1" outlineLevel="1" x14ac:dyDescent="0.25">
      <c r="A228" s="419" t="s">
        <v>224</v>
      </c>
      <c r="B228" s="418" t="s">
        <v>1074</v>
      </c>
      <c r="C228" s="327" t="s">
        <v>4</v>
      </c>
      <c r="D228" s="211">
        <v>1243556.95875</v>
      </c>
      <c r="E228" s="211">
        <v>1227354.4949199997</v>
      </c>
      <c r="F228" s="190">
        <f t="shared" si="19"/>
        <v>0.98697087116436821</v>
      </c>
      <c r="G228" s="416">
        <f>SUM(H228:J228)</f>
        <v>22</v>
      </c>
      <c r="H228" s="416">
        <v>19</v>
      </c>
      <c r="I228" s="416">
        <v>3</v>
      </c>
      <c r="J228" s="416">
        <v>0</v>
      </c>
      <c r="K228" s="417">
        <f>(H228+I228/2)/G228</f>
        <v>0.93181818181818177</v>
      </c>
      <c r="L228" s="418" t="s">
        <v>1245</v>
      </c>
      <c r="M228" s="420" t="s">
        <v>1619</v>
      </c>
    </row>
    <row r="229" spans="1:13" s="208" customFormat="1" ht="118.5" customHeight="1" outlineLevel="1" x14ac:dyDescent="0.25">
      <c r="A229" s="193" t="s">
        <v>225</v>
      </c>
      <c r="B229" s="197" t="s">
        <v>1075</v>
      </c>
      <c r="C229" s="212" t="s">
        <v>4</v>
      </c>
      <c r="D229" s="194">
        <v>623245.60825999989</v>
      </c>
      <c r="E229" s="194">
        <v>619448.41240999999</v>
      </c>
      <c r="F229" s="190">
        <f t="shared" si="19"/>
        <v>0.99390738450512139</v>
      </c>
      <c r="G229" s="324">
        <f>SUM(H229:J229)</f>
        <v>3</v>
      </c>
      <c r="H229" s="324">
        <v>3</v>
      </c>
      <c r="I229" s="324">
        <v>0</v>
      </c>
      <c r="J229" s="324">
        <v>0</v>
      </c>
      <c r="K229" s="325">
        <f>(H229+I229/2)/G229</f>
        <v>1</v>
      </c>
      <c r="L229" s="332" t="s">
        <v>1246</v>
      </c>
      <c r="M229" s="212" t="s">
        <v>41</v>
      </c>
    </row>
    <row r="230" spans="1:13" ht="38.25" customHeight="1" x14ac:dyDescent="0.25">
      <c r="A230" s="754" t="s">
        <v>226</v>
      </c>
      <c r="B230" s="716" t="s">
        <v>1024</v>
      </c>
      <c r="C230" s="175" t="s">
        <v>3</v>
      </c>
      <c r="D230" s="176">
        <f>SUM(D231:D232)</f>
        <v>12164436.943209998</v>
      </c>
      <c r="E230" s="176">
        <f>SUM(E231:E232)</f>
        <v>12055036.34481</v>
      </c>
      <c r="F230" s="406">
        <f t="shared" si="19"/>
        <v>0.99100652180526416</v>
      </c>
      <c r="G230" s="763">
        <f>SUM(G233:G238)</f>
        <v>19</v>
      </c>
      <c r="H230" s="763">
        <f>SUM(H233:H238)</f>
        <v>18</v>
      </c>
      <c r="I230" s="763">
        <f>SUM(I233:I238)</f>
        <v>1</v>
      </c>
      <c r="J230" s="763">
        <f>SUM(J233:J238)</f>
        <v>0</v>
      </c>
      <c r="K230" s="692">
        <f>(H230+I230/2)/G230</f>
        <v>0.97368421052631582</v>
      </c>
      <c r="L230" s="736" t="s">
        <v>1081</v>
      </c>
      <c r="M230" s="697"/>
    </row>
    <row r="231" spans="1:13" ht="38.25" customHeight="1" x14ac:dyDescent="0.25">
      <c r="A231" s="658"/>
      <c r="B231" s="717"/>
      <c r="C231" s="178" t="s">
        <v>4</v>
      </c>
      <c r="D231" s="179">
        <f>D233+D235+D237+D238</f>
        <v>10417085.943209998</v>
      </c>
      <c r="E231" s="179">
        <f>E233+E235+E237+E238</f>
        <v>10307685.34481</v>
      </c>
      <c r="F231" s="405">
        <f t="shared" si="19"/>
        <v>0.989497965266255</v>
      </c>
      <c r="G231" s="664"/>
      <c r="H231" s="664"/>
      <c r="I231" s="664"/>
      <c r="J231" s="664"/>
      <c r="K231" s="667" t="e">
        <f>(#REF!+#REF!/2)/#REF!</f>
        <v>#REF!</v>
      </c>
      <c r="L231" s="737"/>
      <c r="M231" s="698"/>
    </row>
    <row r="232" spans="1:13" ht="38.25" customHeight="1" x14ac:dyDescent="0.25">
      <c r="A232" s="786"/>
      <c r="B232" s="718"/>
      <c r="C232" s="178" t="s">
        <v>5</v>
      </c>
      <c r="D232" s="179">
        <f>D236</f>
        <v>1747351</v>
      </c>
      <c r="E232" s="179">
        <f>E236</f>
        <v>1747351</v>
      </c>
      <c r="F232" s="405">
        <f t="shared" si="19"/>
        <v>1</v>
      </c>
      <c r="G232" s="764"/>
      <c r="H232" s="764"/>
      <c r="I232" s="764"/>
      <c r="J232" s="764"/>
      <c r="K232" s="765" t="e">
        <f>(#REF!+K230/2)/#REF!</f>
        <v>#REF!</v>
      </c>
      <c r="L232" s="738"/>
      <c r="M232" s="699"/>
    </row>
    <row r="233" spans="1:13" s="208" customFormat="1" ht="51.75" customHeight="1" outlineLevel="1" x14ac:dyDescent="0.25">
      <c r="A233" s="327" t="s">
        <v>227</v>
      </c>
      <c r="B233" s="209" t="s">
        <v>1076</v>
      </c>
      <c r="C233" s="327" t="s">
        <v>4</v>
      </c>
      <c r="D233" s="189">
        <v>2360121.1794600002</v>
      </c>
      <c r="E233" s="189">
        <v>2253582.8692099997</v>
      </c>
      <c r="F233" s="190">
        <f t="shared" si="19"/>
        <v>0.95485896606615062</v>
      </c>
      <c r="G233" s="324">
        <f>SUM(H233:J233)</f>
        <v>7</v>
      </c>
      <c r="H233" s="324">
        <v>7</v>
      </c>
      <c r="I233" s="324">
        <v>0</v>
      </c>
      <c r="J233" s="324">
        <v>0</v>
      </c>
      <c r="K233" s="325">
        <f>(H233+I233/2)/G233</f>
        <v>1</v>
      </c>
      <c r="L233" s="323" t="s">
        <v>1077</v>
      </c>
      <c r="M233" s="419" t="s">
        <v>41</v>
      </c>
    </row>
    <row r="234" spans="1:13" s="208" customFormat="1" ht="29.25" customHeight="1" outlineLevel="1" x14ac:dyDescent="0.25">
      <c r="A234" s="675" t="s">
        <v>228</v>
      </c>
      <c r="B234" s="678" t="s">
        <v>1078</v>
      </c>
      <c r="C234" s="327" t="s">
        <v>3</v>
      </c>
      <c r="D234" s="189">
        <f>SUM(D235:D236)</f>
        <v>9650998.1979999989</v>
      </c>
      <c r="E234" s="189">
        <f>SUM(E235:E236)</f>
        <v>9649840.2280000001</v>
      </c>
      <c r="F234" s="190">
        <f t="shared" si="19"/>
        <v>0.99988001552002792</v>
      </c>
      <c r="G234" s="681">
        <f>SUM(H234:J236)</f>
        <v>6</v>
      </c>
      <c r="H234" s="681">
        <v>6</v>
      </c>
      <c r="I234" s="681">
        <v>0</v>
      </c>
      <c r="J234" s="681">
        <v>0</v>
      </c>
      <c r="K234" s="684">
        <f>(H234+I234/2)/G234</f>
        <v>1</v>
      </c>
      <c r="L234" s="678" t="s">
        <v>1077</v>
      </c>
      <c r="M234" s="675" t="s">
        <v>41</v>
      </c>
    </row>
    <row r="235" spans="1:13" s="208" customFormat="1" ht="29.25" customHeight="1" outlineLevel="1" x14ac:dyDescent="0.25">
      <c r="A235" s="676"/>
      <c r="B235" s="679"/>
      <c r="C235" s="327" t="s">
        <v>4</v>
      </c>
      <c r="D235" s="189">
        <v>7903647.1979999999</v>
      </c>
      <c r="E235" s="189">
        <v>7902489.2280000001</v>
      </c>
      <c r="F235" s="190">
        <f t="shared" si="19"/>
        <v>0.99985348915874017</v>
      </c>
      <c r="G235" s="682"/>
      <c r="H235" s="682"/>
      <c r="I235" s="682"/>
      <c r="J235" s="682"/>
      <c r="K235" s="649"/>
      <c r="L235" s="679"/>
      <c r="M235" s="676"/>
    </row>
    <row r="236" spans="1:13" s="208" customFormat="1" ht="29.25" customHeight="1" outlineLevel="1" x14ac:dyDescent="0.25">
      <c r="A236" s="677"/>
      <c r="B236" s="680"/>
      <c r="C236" s="327" t="s">
        <v>5</v>
      </c>
      <c r="D236" s="189">
        <v>1747351</v>
      </c>
      <c r="E236" s="189">
        <v>1747351</v>
      </c>
      <c r="F236" s="190">
        <f t="shared" si="19"/>
        <v>1</v>
      </c>
      <c r="G236" s="683"/>
      <c r="H236" s="683"/>
      <c r="I236" s="683"/>
      <c r="J236" s="683"/>
      <c r="K236" s="685"/>
      <c r="L236" s="680"/>
      <c r="M236" s="677"/>
    </row>
    <row r="237" spans="1:13" s="208" customFormat="1" ht="84.75" customHeight="1" outlineLevel="1" x14ac:dyDescent="0.25">
      <c r="A237" s="327" t="s">
        <v>1500</v>
      </c>
      <c r="B237" s="363" t="s">
        <v>1079</v>
      </c>
      <c r="C237" s="327" t="s">
        <v>4</v>
      </c>
      <c r="D237" s="189">
        <v>39624.123229999997</v>
      </c>
      <c r="E237" s="189">
        <v>39239.5</v>
      </c>
      <c r="F237" s="190">
        <f t="shared" si="19"/>
        <v>0.99029320528387632</v>
      </c>
      <c r="G237" s="324">
        <f>SUM(H237:J237)</f>
        <v>2</v>
      </c>
      <c r="H237" s="324">
        <v>2</v>
      </c>
      <c r="I237" s="324">
        <v>0</v>
      </c>
      <c r="J237" s="324">
        <v>0</v>
      </c>
      <c r="K237" s="325">
        <f>(H237+I237/2)/G237</f>
        <v>1</v>
      </c>
      <c r="L237" s="323" t="s">
        <v>1080</v>
      </c>
      <c r="M237" s="352" t="s">
        <v>41</v>
      </c>
    </row>
    <row r="238" spans="1:13" s="208" customFormat="1" ht="69.75" customHeight="1" outlineLevel="1" x14ac:dyDescent="0.25">
      <c r="A238" s="327" t="s">
        <v>1501</v>
      </c>
      <c r="B238" s="209" t="s">
        <v>1117</v>
      </c>
      <c r="C238" s="327" t="s">
        <v>4</v>
      </c>
      <c r="D238" s="189">
        <v>113693.44252000001</v>
      </c>
      <c r="E238" s="189">
        <v>112373.7476</v>
      </c>
      <c r="F238" s="190">
        <f t="shared" si="19"/>
        <v>0.98839251507607517</v>
      </c>
      <c r="G238" s="324">
        <f>SUM(H238:J238)</f>
        <v>4</v>
      </c>
      <c r="H238" s="324">
        <v>3</v>
      </c>
      <c r="I238" s="324">
        <v>1</v>
      </c>
      <c r="J238" s="324">
        <v>0</v>
      </c>
      <c r="K238" s="325">
        <f>(H238+I238/2)/G238</f>
        <v>0.875</v>
      </c>
      <c r="L238" s="323" t="s">
        <v>808</v>
      </c>
      <c r="M238" s="423" t="s">
        <v>1612</v>
      </c>
    </row>
    <row r="239" spans="1:13" ht="23.25" customHeight="1" x14ac:dyDescent="0.25">
      <c r="A239" s="754" t="s">
        <v>229</v>
      </c>
      <c r="B239" s="791" t="s">
        <v>178</v>
      </c>
      <c r="C239" s="175" t="s">
        <v>3</v>
      </c>
      <c r="D239" s="176">
        <f>SUM(D240:D242)</f>
        <v>4226028.7</v>
      </c>
      <c r="E239" s="176">
        <f>SUM(E240:E242)</f>
        <v>4066977.9299899996</v>
      </c>
      <c r="F239" s="406">
        <f t="shared" si="19"/>
        <v>0.96236401091880885</v>
      </c>
      <c r="G239" s="763">
        <f>SUM(G243:G255)</f>
        <v>104</v>
      </c>
      <c r="H239" s="763">
        <f>SUM(H243:H255)</f>
        <v>93</v>
      </c>
      <c r="I239" s="763">
        <f>SUM(I243:I255)</f>
        <v>7</v>
      </c>
      <c r="J239" s="763">
        <f>SUM(J243:J255)</f>
        <v>4</v>
      </c>
      <c r="K239" s="692">
        <f>(H239+I239/2)/G239</f>
        <v>0.92788461538461542</v>
      </c>
      <c r="L239" s="736" t="s">
        <v>1699</v>
      </c>
      <c r="M239" s="697"/>
    </row>
    <row r="240" spans="1:13" ht="23.25" customHeight="1" x14ac:dyDescent="0.25">
      <c r="A240" s="658"/>
      <c r="B240" s="661"/>
      <c r="C240" s="178" t="s">
        <v>179</v>
      </c>
      <c r="D240" s="179">
        <f>D244+D248+D252+D254+D255</f>
        <v>3828469.9000000004</v>
      </c>
      <c r="E240" s="179">
        <f>E244+E248+E252+E254+E255</f>
        <v>3674563.8859699997</v>
      </c>
      <c r="F240" s="405">
        <f t="shared" si="19"/>
        <v>0.95979960191668201</v>
      </c>
      <c r="G240" s="664"/>
      <c r="H240" s="664"/>
      <c r="I240" s="664"/>
      <c r="J240" s="664"/>
      <c r="K240" s="667" t="e">
        <f>(#REF!+#REF!/2)/#REF!</f>
        <v>#REF!</v>
      </c>
      <c r="L240" s="737"/>
      <c r="M240" s="698"/>
    </row>
    <row r="241" spans="1:13" ht="23.25" customHeight="1" x14ac:dyDescent="0.25">
      <c r="A241" s="658"/>
      <c r="B241" s="661"/>
      <c r="C241" s="178" t="s">
        <v>5</v>
      </c>
      <c r="D241" s="179">
        <f>D245+D253+D249</f>
        <v>202482.5</v>
      </c>
      <c r="E241" s="179">
        <f>E245+E253+E249</f>
        <v>200857.40000000002</v>
      </c>
      <c r="F241" s="405">
        <f t="shared" si="19"/>
        <v>0.99197412122035244</v>
      </c>
      <c r="G241" s="664"/>
      <c r="H241" s="664"/>
      <c r="I241" s="664"/>
      <c r="J241" s="664"/>
      <c r="K241" s="667" t="e">
        <f>(#REF!+K239/2)/#REF!</f>
        <v>#REF!</v>
      </c>
      <c r="L241" s="737"/>
      <c r="M241" s="698"/>
    </row>
    <row r="242" spans="1:13" ht="23.25" customHeight="1" x14ac:dyDescent="0.25">
      <c r="A242" s="786"/>
      <c r="B242" s="792"/>
      <c r="C242" s="178" t="s">
        <v>6</v>
      </c>
      <c r="D242" s="179">
        <f>D246+D250</f>
        <v>195076.3</v>
      </c>
      <c r="E242" s="179">
        <f>E246+E250</f>
        <v>191556.64402000001</v>
      </c>
      <c r="F242" s="405">
        <f t="shared" si="19"/>
        <v>0.98195754184388373</v>
      </c>
      <c r="G242" s="764"/>
      <c r="H242" s="764"/>
      <c r="I242" s="764"/>
      <c r="J242" s="764"/>
      <c r="K242" s="765" t="e">
        <f>(K240+K241/2)/K239</f>
        <v>#REF!</v>
      </c>
      <c r="L242" s="738"/>
      <c r="M242" s="699"/>
    </row>
    <row r="243" spans="1:13" s="208" customFormat="1" ht="39" customHeight="1" outlineLevel="1" x14ac:dyDescent="0.25">
      <c r="A243" s="823" t="s">
        <v>230</v>
      </c>
      <c r="B243" s="824" t="s">
        <v>1082</v>
      </c>
      <c r="C243" s="335" t="s">
        <v>3</v>
      </c>
      <c r="D243" s="194">
        <f>SUM(D244:D246)</f>
        <v>2022293.3000000003</v>
      </c>
      <c r="E243" s="194">
        <f>SUM(E244:E246)</f>
        <v>1942873.2068699999</v>
      </c>
      <c r="F243" s="190">
        <f t="shared" si="19"/>
        <v>0.96072770792940843</v>
      </c>
      <c r="G243" s="681">
        <f>SUM(H243:J246)</f>
        <v>33</v>
      </c>
      <c r="H243" s="681">
        <v>30</v>
      </c>
      <c r="I243" s="681">
        <v>2</v>
      </c>
      <c r="J243" s="681">
        <v>1</v>
      </c>
      <c r="K243" s="684">
        <f>(H243+I243/2)/G243</f>
        <v>0.93939393939393945</v>
      </c>
      <c r="L243" s="825" t="s">
        <v>1693</v>
      </c>
      <c r="M243" s="824" t="s">
        <v>1697</v>
      </c>
    </row>
    <row r="244" spans="1:13" s="208" customFormat="1" ht="39" customHeight="1" outlineLevel="1" x14ac:dyDescent="0.25">
      <c r="A244" s="823"/>
      <c r="B244" s="824"/>
      <c r="C244" s="335" t="s">
        <v>4</v>
      </c>
      <c r="D244" s="194">
        <v>1754703.8000000003</v>
      </c>
      <c r="E244" s="194">
        <v>1680428.4628499998</v>
      </c>
      <c r="F244" s="190">
        <f t="shared" si="19"/>
        <v>0.95767072644967177</v>
      </c>
      <c r="G244" s="682"/>
      <c r="H244" s="682"/>
      <c r="I244" s="682"/>
      <c r="J244" s="682"/>
      <c r="K244" s="649" t="e">
        <f>(#REF!+#REF!/2)/#REF!</f>
        <v>#REF!</v>
      </c>
      <c r="L244" s="825"/>
      <c r="M244" s="824"/>
    </row>
    <row r="245" spans="1:13" s="208" customFormat="1" ht="39" customHeight="1" outlineLevel="1" x14ac:dyDescent="0.25">
      <c r="A245" s="823"/>
      <c r="B245" s="824"/>
      <c r="C245" s="335" t="s">
        <v>5</v>
      </c>
      <c r="D245" s="194">
        <v>73421.100000000006</v>
      </c>
      <c r="E245" s="194">
        <v>71796</v>
      </c>
      <c r="F245" s="190">
        <f t="shared" si="19"/>
        <v>0.97786603578535314</v>
      </c>
      <c r="G245" s="682"/>
      <c r="H245" s="682"/>
      <c r="I245" s="682"/>
      <c r="J245" s="682"/>
      <c r="K245" s="649" t="e">
        <f>(#REF!+K243/2)/#REF!</f>
        <v>#REF!</v>
      </c>
      <c r="L245" s="825"/>
      <c r="M245" s="824"/>
    </row>
    <row r="246" spans="1:13" s="208" customFormat="1" ht="39" customHeight="1" outlineLevel="1" x14ac:dyDescent="0.25">
      <c r="A246" s="823"/>
      <c r="B246" s="824"/>
      <c r="C246" s="335" t="s">
        <v>6</v>
      </c>
      <c r="D246" s="194">
        <v>194168.4</v>
      </c>
      <c r="E246" s="194">
        <v>190648.74402000001</v>
      </c>
      <c r="F246" s="190">
        <f t="shared" si="19"/>
        <v>0.9818731782308554</v>
      </c>
      <c r="G246" s="683"/>
      <c r="H246" s="683"/>
      <c r="I246" s="683"/>
      <c r="J246" s="683"/>
      <c r="K246" s="685" t="e">
        <f>(K244+K245/2)/K243</f>
        <v>#REF!</v>
      </c>
      <c r="L246" s="825"/>
      <c r="M246" s="824"/>
    </row>
    <row r="247" spans="1:13" s="208" customFormat="1" ht="30" customHeight="1" outlineLevel="1" x14ac:dyDescent="0.25">
      <c r="A247" s="747" t="s">
        <v>231</v>
      </c>
      <c r="B247" s="712" t="s">
        <v>1083</v>
      </c>
      <c r="C247" s="335" t="s">
        <v>3</v>
      </c>
      <c r="D247" s="194">
        <f>SUM(D248:D250)</f>
        <v>402080.5</v>
      </c>
      <c r="E247" s="194">
        <f>SUM(E248:E250)</f>
        <v>374658.89900000009</v>
      </c>
      <c r="F247" s="190">
        <f t="shared" si="19"/>
        <v>0.93180071901024819</v>
      </c>
      <c r="G247" s="681">
        <f>SUM(H247:J247)</f>
        <v>12</v>
      </c>
      <c r="H247" s="681">
        <v>10</v>
      </c>
      <c r="I247" s="681">
        <v>1</v>
      </c>
      <c r="J247" s="681">
        <v>1</v>
      </c>
      <c r="K247" s="684">
        <f>(H247+I247/2)/G247</f>
        <v>0.875</v>
      </c>
      <c r="L247" s="712" t="s">
        <v>1694</v>
      </c>
      <c r="M247" s="712" t="s">
        <v>1695</v>
      </c>
    </row>
    <row r="248" spans="1:13" ht="39.75" customHeight="1" outlineLevel="1" x14ac:dyDescent="0.25">
      <c r="A248" s="748"/>
      <c r="B248" s="713"/>
      <c r="C248" s="335" t="s">
        <v>4</v>
      </c>
      <c r="D248" s="194">
        <v>399333.89999999997</v>
      </c>
      <c r="E248" s="194">
        <v>371912.29900000006</v>
      </c>
      <c r="F248" s="190">
        <f t="shared" si="19"/>
        <v>0.93133164752604292</v>
      </c>
      <c r="G248" s="682"/>
      <c r="H248" s="682"/>
      <c r="I248" s="682"/>
      <c r="J248" s="682"/>
      <c r="K248" s="649"/>
      <c r="L248" s="713"/>
      <c r="M248" s="713"/>
    </row>
    <row r="249" spans="1:13" ht="39.75" customHeight="1" outlineLevel="1" x14ac:dyDescent="0.25">
      <c r="A249" s="748"/>
      <c r="B249" s="713"/>
      <c r="C249" s="427" t="s">
        <v>5</v>
      </c>
      <c r="D249" s="194">
        <v>1838.7</v>
      </c>
      <c r="E249" s="194">
        <v>1838.7</v>
      </c>
      <c r="F249" s="190">
        <f t="shared" ref="F249" si="24">E249/D249</f>
        <v>1</v>
      </c>
      <c r="G249" s="682"/>
      <c r="H249" s="682"/>
      <c r="I249" s="682"/>
      <c r="J249" s="682"/>
      <c r="K249" s="649"/>
      <c r="L249" s="713"/>
      <c r="M249" s="713"/>
    </row>
    <row r="250" spans="1:13" ht="36.75" customHeight="1" outlineLevel="1" x14ac:dyDescent="0.25">
      <c r="A250" s="826"/>
      <c r="B250" s="714"/>
      <c r="C250" s="335" t="s">
        <v>6</v>
      </c>
      <c r="D250" s="194">
        <v>907.9</v>
      </c>
      <c r="E250" s="194">
        <v>907.9</v>
      </c>
      <c r="F250" s="190">
        <f t="shared" si="19"/>
        <v>1</v>
      </c>
      <c r="G250" s="683"/>
      <c r="H250" s="683"/>
      <c r="I250" s="683"/>
      <c r="J250" s="683"/>
      <c r="K250" s="685"/>
      <c r="L250" s="714"/>
      <c r="M250" s="714"/>
    </row>
    <row r="251" spans="1:13" ht="37.5" customHeight="1" outlineLevel="1" x14ac:dyDescent="0.25">
      <c r="A251" s="747" t="s">
        <v>232</v>
      </c>
      <c r="B251" s="712" t="s">
        <v>1084</v>
      </c>
      <c r="C251" s="212" t="s">
        <v>3</v>
      </c>
      <c r="D251" s="194">
        <f>SUM(D252:D253)</f>
        <v>754518.49999999988</v>
      </c>
      <c r="E251" s="194">
        <f>SUM(E252:E253)</f>
        <v>725844.39999999991</v>
      </c>
      <c r="F251" s="190">
        <f t="shared" si="19"/>
        <v>0.96199682313952539</v>
      </c>
      <c r="G251" s="681">
        <f>SUM(H251:J253)</f>
        <v>38</v>
      </c>
      <c r="H251" s="681">
        <v>32</v>
      </c>
      <c r="I251" s="681">
        <v>4</v>
      </c>
      <c r="J251" s="681">
        <v>2</v>
      </c>
      <c r="K251" s="684">
        <f>(H251+I251/2)/G251</f>
        <v>0.89473684210526316</v>
      </c>
      <c r="L251" s="827" t="s">
        <v>1247</v>
      </c>
      <c r="M251" s="712" t="s">
        <v>1249</v>
      </c>
    </row>
    <row r="252" spans="1:13" ht="33.75" customHeight="1" outlineLevel="1" x14ac:dyDescent="0.25">
      <c r="A252" s="748"/>
      <c r="B252" s="713"/>
      <c r="C252" s="212" t="s">
        <v>4</v>
      </c>
      <c r="D252" s="194">
        <v>627295.79999999993</v>
      </c>
      <c r="E252" s="194">
        <v>598621.69999999995</v>
      </c>
      <c r="F252" s="190">
        <f t="shared" si="19"/>
        <v>0.95428934802369159</v>
      </c>
      <c r="G252" s="682"/>
      <c r="H252" s="682"/>
      <c r="I252" s="682"/>
      <c r="J252" s="682"/>
      <c r="K252" s="649"/>
      <c r="L252" s="828"/>
      <c r="M252" s="713"/>
    </row>
    <row r="253" spans="1:13" ht="33.75" customHeight="1" outlineLevel="1" x14ac:dyDescent="0.25">
      <c r="A253" s="748"/>
      <c r="B253" s="713"/>
      <c r="C253" s="212" t="s">
        <v>5</v>
      </c>
      <c r="D253" s="194">
        <v>127222.7</v>
      </c>
      <c r="E253" s="194">
        <v>127222.7</v>
      </c>
      <c r="F253" s="190">
        <f t="shared" si="19"/>
        <v>1</v>
      </c>
      <c r="G253" s="682"/>
      <c r="H253" s="682"/>
      <c r="I253" s="682"/>
      <c r="J253" s="682"/>
      <c r="K253" s="649"/>
      <c r="L253" s="828"/>
      <c r="M253" s="713"/>
    </row>
    <row r="254" spans="1:13" s="208" customFormat="1" ht="79.150000000000006" customHeight="1" outlineLevel="1" x14ac:dyDescent="0.25">
      <c r="A254" s="335" t="s">
        <v>233</v>
      </c>
      <c r="B254" s="336" t="s">
        <v>1085</v>
      </c>
      <c r="C254" s="212" t="s">
        <v>4</v>
      </c>
      <c r="D254" s="194">
        <v>634094.70000000007</v>
      </c>
      <c r="E254" s="194">
        <v>627675.5</v>
      </c>
      <c r="F254" s="190">
        <f>E254/D254</f>
        <v>0.98987659098869607</v>
      </c>
      <c r="G254" s="329">
        <f>SUM(H254:J254)</f>
        <v>10</v>
      </c>
      <c r="H254" s="329">
        <v>10</v>
      </c>
      <c r="I254" s="329">
        <v>0</v>
      </c>
      <c r="J254" s="329">
        <v>0</v>
      </c>
      <c r="K254" s="328">
        <f>(H254+I254/2)/G254</f>
        <v>1</v>
      </c>
      <c r="L254" s="336" t="s">
        <v>1248</v>
      </c>
      <c r="M254" s="427" t="s">
        <v>41</v>
      </c>
    </row>
    <row r="255" spans="1:13" s="208" customFormat="1" ht="141.6" customHeight="1" outlineLevel="1" x14ac:dyDescent="0.25">
      <c r="A255" s="335" t="s">
        <v>1502</v>
      </c>
      <c r="B255" s="336" t="s">
        <v>1086</v>
      </c>
      <c r="C255" s="212" t="s">
        <v>4</v>
      </c>
      <c r="D255" s="194">
        <v>413041.70000000007</v>
      </c>
      <c r="E255" s="194">
        <v>395925.92412000004</v>
      </c>
      <c r="F255" s="190">
        <f>E255/D255</f>
        <v>0.95856162736111139</v>
      </c>
      <c r="G255" s="329">
        <f>SUM(H255:J255)</f>
        <v>11</v>
      </c>
      <c r="H255" s="329">
        <v>11</v>
      </c>
      <c r="I255" s="329">
        <v>0</v>
      </c>
      <c r="J255" s="329">
        <v>0</v>
      </c>
      <c r="K255" s="328">
        <f>(H255+I255/2)/G255</f>
        <v>1</v>
      </c>
      <c r="L255" s="336" t="s">
        <v>1696</v>
      </c>
      <c r="M255" s="428" t="s">
        <v>1698</v>
      </c>
    </row>
    <row r="256" spans="1:13" ht="25.5" customHeight="1" x14ac:dyDescent="0.25"/>
    <row r="257" spans="11:11" ht="15" customHeight="1" x14ac:dyDescent="0.25">
      <c r="K257" s="182"/>
    </row>
  </sheetData>
  <mergeCells count="584">
    <mergeCell ref="G251:G253"/>
    <mergeCell ref="H251:H253"/>
    <mergeCell ref="I251:I253"/>
    <mergeCell ref="J251:J253"/>
    <mergeCell ref="K251:K253"/>
    <mergeCell ref="L251:L253"/>
    <mergeCell ref="M251:M253"/>
    <mergeCell ref="B251:B253"/>
    <mergeCell ref="A251:A253"/>
    <mergeCell ref="A247:A250"/>
    <mergeCell ref="B247:B250"/>
    <mergeCell ref="G247:G250"/>
    <mergeCell ref="H247:H250"/>
    <mergeCell ref="I247:I250"/>
    <mergeCell ref="J247:J250"/>
    <mergeCell ref="K247:K250"/>
    <mergeCell ref="L247:L250"/>
    <mergeCell ref="M247:M250"/>
    <mergeCell ref="A243:A246"/>
    <mergeCell ref="B243:B246"/>
    <mergeCell ref="G243:G246"/>
    <mergeCell ref="H243:H246"/>
    <mergeCell ref="I243:I246"/>
    <mergeCell ref="J243:J246"/>
    <mergeCell ref="K243:K246"/>
    <mergeCell ref="L243:L246"/>
    <mergeCell ref="M243:M246"/>
    <mergeCell ref="K234:K236"/>
    <mergeCell ref="L234:L236"/>
    <mergeCell ref="M234:M236"/>
    <mergeCell ref="A239:A242"/>
    <mergeCell ref="B239:B242"/>
    <mergeCell ref="G239:G242"/>
    <mergeCell ref="H239:H242"/>
    <mergeCell ref="I239:I242"/>
    <mergeCell ref="J239:J242"/>
    <mergeCell ref="K239:K242"/>
    <mergeCell ref="A234:A236"/>
    <mergeCell ref="B234:B236"/>
    <mergeCell ref="G234:G236"/>
    <mergeCell ref="H234:H236"/>
    <mergeCell ref="I234:I236"/>
    <mergeCell ref="J234:J236"/>
    <mergeCell ref="L239:L242"/>
    <mergeCell ref="M239:M242"/>
    <mergeCell ref="A230:A232"/>
    <mergeCell ref="B230:B232"/>
    <mergeCell ref="G230:G232"/>
    <mergeCell ref="H230:H232"/>
    <mergeCell ref="I230:I232"/>
    <mergeCell ref="J230:J232"/>
    <mergeCell ref="K230:K232"/>
    <mergeCell ref="L230:L232"/>
    <mergeCell ref="M230:M232"/>
    <mergeCell ref="K225:K226"/>
    <mergeCell ref="L225:L226"/>
    <mergeCell ref="M225:M226"/>
    <mergeCell ref="A225:A226"/>
    <mergeCell ref="B225:B226"/>
    <mergeCell ref="G225:G226"/>
    <mergeCell ref="H225:H226"/>
    <mergeCell ref="I225:I226"/>
    <mergeCell ref="J225:J226"/>
    <mergeCell ref="A219:A222"/>
    <mergeCell ref="B219:B222"/>
    <mergeCell ref="L219:L222"/>
    <mergeCell ref="M219:M222"/>
    <mergeCell ref="G219:G222"/>
    <mergeCell ref="A223:A224"/>
    <mergeCell ref="B223:B224"/>
    <mergeCell ref="G223:G224"/>
    <mergeCell ref="H223:H224"/>
    <mergeCell ref="I223:I224"/>
    <mergeCell ref="J223:J224"/>
    <mergeCell ref="K223:K224"/>
    <mergeCell ref="L223:L224"/>
    <mergeCell ref="M223:M224"/>
    <mergeCell ref="H219:H222"/>
    <mergeCell ref="I219:I222"/>
    <mergeCell ref="J219:J222"/>
    <mergeCell ref="K219:K222"/>
    <mergeCell ref="B209:B212"/>
    <mergeCell ref="A209:A212"/>
    <mergeCell ref="A215:A218"/>
    <mergeCell ref="B215:B218"/>
    <mergeCell ref="G215:G218"/>
    <mergeCell ref="H215:H218"/>
    <mergeCell ref="I215:I218"/>
    <mergeCell ref="J215:J218"/>
    <mergeCell ref="K215:K218"/>
    <mergeCell ref="K213:K214"/>
    <mergeCell ref="B213:B214"/>
    <mergeCell ref="A213:A214"/>
    <mergeCell ref="G213:G214"/>
    <mergeCell ref="H213:H214"/>
    <mergeCell ref="I213:I214"/>
    <mergeCell ref="J213:J214"/>
    <mergeCell ref="K200:K203"/>
    <mergeCell ref="L200:L203"/>
    <mergeCell ref="M200:M203"/>
    <mergeCell ref="A204:A206"/>
    <mergeCell ref="B204:B206"/>
    <mergeCell ref="G204:G206"/>
    <mergeCell ref="H204:H206"/>
    <mergeCell ref="I204:I206"/>
    <mergeCell ref="J204:J206"/>
    <mergeCell ref="K204:K206"/>
    <mergeCell ref="A200:A203"/>
    <mergeCell ref="B200:B203"/>
    <mergeCell ref="G200:G203"/>
    <mergeCell ref="H200:H203"/>
    <mergeCell ref="I200:I203"/>
    <mergeCell ref="J200:J203"/>
    <mergeCell ref="L204:L206"/>
    <mergeCell ref="M204:M206"/>
    <mergeCell ref="A196:A199"/>
    <mergeCell ref="B196:B199"/>
    <mergeCell ref="G196:G199"/>
    <mergeCell ref="H196:H199"/>
    <mergeCell ref="I196:I199"/>
    <mergeCell ref="J196:J199"/>
    <mergeCell ref="K196:K199"/>
    <mergeCell ref="L196:L199"/>
    <mergeCell ref="M196:M199"/>
    <mergeCell ref="A191:A195"/>
    <mergeCell ref="B191:B195"/>
    <mergeCell ref="G191:G195"/>
    <mergeCell ref="H191:H195"/>
    <mergeCell ref="I191:I195"/>
    <mergeCell ref="J191:J195"/>
    <mergeCell ref="K191:K195"/>
    <mergeCell ref="L191:L195"/>
    <mergeCell ref="M191:M195"/>
    <mergeCell ref="K187:K188"/>
    <mergeCell ref="L187:L188"/>
    <mergeCell ref="M187:M188"/>
    <mergeCell ref="A189:A190"/>
    <mergeCell ref="B189:B190"/>
    <mergeCell ref="G189:G190"/>
    <mergeCell ref="H189:H190"/>
    <mergeCell ref="I189:I190"/>
    <mergeCell ref="J189:J190"/>
    <mergeCell ref="K189:K190"/>
    <mergeCell ref="A187:A188"/>
    <mergeCell ref="B187:B188"/>
    <mergeCell ref="G187:G188"/>
    <mergeCell ref="H187:H188"/>
    <mergeCell ref="I187:I188"/>
    <mergeCell ref="J187:J188"/>
    <mergeCell ref="L189:L190"/>
    <mergeCell ref="M189:M190"/>
    <mergeCell ref="A183:A186"/>
    <mergeCell ref="B183:B186"/>
    <mergeCell ref="G183:G186"/>
    <mergeCell ref="H183:H186"/>
    <mergeCell ref="I183:I186"/>
    <mergeCell ref="J183:J186"/>
    <mergeCell ref="K183:K186"/>
    <mergeCell ref="L183:L186"/>
    <mergeCell ref="M183:M186"/>
    <mergeCell ref="A179:A182"/>
    <mergeCell ref="B179:B182"/>
    <mergeCell ref="G179:G182"/>
    <mergeCell ref="H179:H182"/>
    <mergeCell ref="I179:I182"/>
    <mergeCell ref="J179:J182"/>
    <mergeCell ref="K179:K182"/>
    <mergeCell ref="L179:L182"/>
    <mergeCell ref="M179:M182"/>
    <mergeCell ref="K171:K173"/>
    <mergeCell ref="L171:L173"/>
    <mergeCell ref="M171:M173"/>
    <mergeCell ref="A174:A178"/>
    <mergeCell ref="B174:B178"/>
    <mergeCell ref="G174:G178"/>
    <mergeCell ref="H174:H178"/>
    <mergeCell ref="I174:I178"/>
    <mergeCell ref="J174:J178"/>
    <mergeCell ref="K174:K178"/>
    <mergeCell ref="A171:A173"/>
    <mergeCell ref="B171:B173"/>
    <mergeCell ref="G171:G173"/>
    <mergeCell ref="H171:H173"/>
    <mergeCell ref="I171:I173"/>
    <mergeCell ref="J171:J173"/>
    <mergeCell ref="L174:L178"/>
    <mergeCell ref="M174:M178"/>
    <mergeCell ref="A166:A170"/>
    <mergeCell ref="B166:B170"/>
    <mergeCell ref="G166:G170"/>
    <mergeCell ref="H166:H170"/>
    <mergeCell ref="I166:I170"/>
    <mergeCell ref="J166:J170"/>
    <mergeCell ref="K166:K170"/>
    <mergeCell ref="L166:L170"/>
    <mergeCell ref="M166:M170"/>
    <mergeCell ref="A163:A165"/>
    <mergeCell ref="B163:B165"/>
    <mergeCell ref="G163:G165"/>
    <mergeCell ref="H163:H165"/>
    <mergeCell ref="I163:I165"/>
    <mergeCell ref="J163:J165"/>
    <mergeCell ref="K163:K165"/>
    <mergeCell ref="L163:L165"/>
    <mergeCell ref="M163:M165"/>
    <mergeCell ref="K157:K160"/>
    <mergeCell ref="L157:L160"/>
    <mergeCell ref="M157:M160"/>
    <mergeCell ref="A161:A162"/>
    <mergeCell ref="B161:B162"/>
    <mergeCell ref="G161:G162"/>
    <mergeCell ref="H161:H162"/>
    <mergeCell ref="I161:I162"/>
    <mergeCell ref="J161:J162"/>
    <mergeCell ref="K161:K162"/>
    <mergeCell ref="A157:A160"/>
    <mergeCell ref="B157:B160"/>
    <mergeCell ref="G157:G160"/>
    <mergeCell ref="H157:H160"/>
    <mergeCell ref="I157:I160"/>
    <mergeCell ref="J157:J160"/>
    <mergeCell ref="L161:L162"/>
    <mergeCell ref="M161:M162"/>
    <mergeCell ref="A151:A155"/>
    <mergeCell ref="B151:B155"/>
    <mergeCell ref="G151:G155"/>
    <mergeCell ref="H151:H155"/>
    <mergeCell ref="I151:I155"/>
    <mergeCell ref="J151:J155"/>
    <mergeCell ref="K151:K155"/>
    <mergeCell ref="L151:L155"/>
    <mergeCell ref="M151:M155"/>
    <mergeCell ref="K144:K145"/>
    <mergeCell ref="L144:L145"/>
    <mergeCell ref="M144:M145"/>
    <mergeCell ref="A144:A145"/>
    <mergeCell ref="B144:B145"/>
    <mergeCell ref="G144:G145"/>
    <mergeCell ref="H144:H145"/>
    <mergeCell ref="I144:I145"/>
    <mergeCell ref="J144:J145"/>
    <mergeCell ref="A139:A143"/>
    <mergeCell ref="B139:B143"/>
    <mergeCell ref="G139:G143"/>
    <mergeCell ref="H139:H143"/>
    <mergeCell ref="I139:I143"/>
    <mergeCell ref="J139:J143"/>
    <mergeCell ref="K139:K143"/>
    <mergeCell ref="L139:L143"/>
    <mergeCell ref="M139:M143"/>
    <mergeCell ref="A135:A138"/>
    <mergeCell ref="B135:B138"/>
    <mergeCell ref="G135:G138"/>
    <mergeCell ref="H135:H138"/>
    <mergeCell ref="I135:I138"/>
    <mergeCell ref="J135:J138"/>
    <mergeCell ref="K135:K138"/>
    <mergeCell ref="L135:L138"/>
    <mergeCell ref="M135:M138"/>
    <mergeCell ref="K126:K130"/>
    <mergeCell ref="L126:L130"/>
    <mergeCell ref="M126:M130"/>
    <mergeCell ref="A131:A134"/>
    <mergeCell ref="B131:B134"/>
    <mergeCell ref="G131:G134"/>
    <mergeCell ref="H131:H134"/>
    <mergeCell ref="I131:I134"/>
    <mergeCell ref="J131:J134"/>
    <mergeCell ref="K131:K134"/>
    <mergeCell ref="A126:A130"/>
    <mergeCell ref="B126:B130"/>
    <mergeCell ref="G126:G130"/>
    <mergeCell ref="H126:H130"/>
    <mergeCell ref="I126:I130"/>
    <mergeCell ref="J126:J130"/>
    <mergeCell ref="L131:L134"/>
    <mergeCell ref="M131:M134"/>
    <mergeCell ref="A121:A125"/>
    <mergeCell ref="B121:B125"/>
    <mergeCell ref="G121:G125"/>
    <mergeCell ref="H121:H125"/>
    <mergeCell ref="I121:I125"/>
    <mergeCell ref="J121:J125"/>
    <mergeCell ref="K121:K125"/>
    <mergeCell ref="L121:L125"/>
    <mergeCell ref="M121:M125"/>
    <mergeCell ref="A118:A120"/>
    <mergeCell ref="B118:B120"/>
    <mergeCell ref="G118:G120"/>
    <mergeCell ref="H118:H120"/>
    <mergeCell ref="I118:I120"/>
    <mergeCell ref="J118:J120"/>
    <mergeCell ref="K118:K120"/>
    <mergeCell ref="L118:L120"/>
    <mergeCell ref="M118:M120"/>
    <mergeCell ref="K112:K114"/>
    <mergeCell ref="L112:L114"/>
    <mergeCell ref="M112:M114"/>
    <mergeCell ref="A115:A117"/>
    <mergeCell ref="B115:B117"/>
    <mergeCell ref="G115:G117"/>
    <mergeCell ref="H115:H117"/>
    <mergeCell ref="I115:I117"/>
    <mergeCell ref="J115:J117"/>
    <mergeCell ref="K115:K117"/>
    <mergeCell ref="A112:A114"/>
    <mergeCell ref="B112:B114"/>
    <mergeCell ref="G112:G114"/>
    <mergeCell ref="H112:H114"/>
    <mergeCell ref="I112:I114"/>
    <mergeCell ref="J112:J114"/>
    <mergeCell ref="L115:L117"/>
    <mergeCell ref="M115:M117"/>
    <mergeCell ref="A108:A111"/>
    <mergeCell ref="B108:B111"/>
    <mergeCell ref="G108:G111"/>
    <mergeCell ref="H108:H111"/>
    <mergeCell ref="I108:I111"/>
    <mergeCell ref="J108:J111"/>
    <mergeCell ref="K108:K111"/>
    <mergeCell ref="L108:L111"/>
    <mergeCell ref="M108:M111"/>
    <mergeCell ref="A105:A107"/>
    <mergeCell ref="B105:B107"/>
    <mergeCell ref="G105:G107"/>
    <mergeCell ref="H105:H107"/>
    <mergeCell ref="I105:I107"/>
    <mergeCell ref="J105:J107"/>
    <mergeCell ref="K105:K107"/>
    <mergeCell ref="L105:L107"/>
    <mergeCell ref="M105:M107"/>
    <mergeCell ref="K97:K100"/>
    <mergeCell ref="L97:L100"/>
    <mergeCell ref="M97:M100"/>
    <mergeCell ref="A101:A104"/>
    <mergeCell ref="B101:B104"/>
    <mergeCell ref="G101:G104"/>
    <mergeCell ref="H101:H104"/>
    <mergeCell ref="I101:I104"/>
    <mergeCell ref="J101:J104"/>
    <mergeCell ref="K101:K104"/>
    <mergeCell ref="A97:A100"/>
    <mergeCell ref="B97:B100"/>
    <mergeCell ref="G97:G100"/>
    <mergeCell ref="H97:H100"/>
    <mergeCell ref="I97:I100"/>
    <mergeCell ref="J97:J100"/>
    <mergeCell ref="L101:L104"/>
    <mergeCell ref="M101:M104"/>
    <mergeCell ref="A93:A96"/>
    <mergeCell ref="B93:B96"/>
    <mergeCell ref="G93:G96"/>
    <mergeCell ref="H93:H96"/>
    <mergeCell ref="I93:I96"/>
    <mergeCell ref="J93:J96"/>
    <mergeCell ref="K93:K96"/>
    <mergeCell ref="L93:L96"/>
    <mergeCell ref="M93:M96"/>
    <mergeCell ref="A89:A92"/>
    <mergeCell ref="B89:B92"/>
    <mergeCell ref="G89:G92"/>
    <mergeCell ref="H89:H92"/>
    <mergeCell ref="I89:I92"/>
    <mergeCell ref="J89:J92"/>
    <mergeCell ref="K89:K92"/>
    <mergeCell ref="L89:L92"/>
    <mergeCell ref="M89:M92"/>
    <mergeCell ref="A79:A82"/>
    <mergeCell ref="B79:B82"/>
    <mergeCell ref="G79:G82"/>
    <mergeCell ref="H79:H82"/>
    <mergeCell ref="I79:I82"/>
    <mergeCell ref="J79:J82"/>
    <mergeCell ref="A83:A87"/>
    <mergeCell ref="B83:B87"/>
    <mergeCell ref="G83:G87"/>
    <mergeCell ref="H83:H87"/>
    <mergeCell ref="I83:I87"/>
    <mergeCell ref="J83:J87"/>
    <mergeCell ref="K63:K66"/>
    <mergeCell ref="L63:L66"/>
    <mergeCell ref="M63:M66"/>
    <mergeCell ref="A67:A69"/>
    <mergeCell ref="B67:B69"/>
    <mergeCell ref="G67:G69"/>
    <mergeCell ref="H67:H69"/>
    <mergeCell ref="I67:I69"/>
    <mergeCell ref="J67:J69"/>
    <mergeCell ref="K67:K69"/>
    <mergeCell ref="A63:A66"/>
    <mergeCell ref="B63:B66"/>
    <mergeCell ref="G63:G66"/>
    <mergeCell ref="H63:H66"/>
    <mergeCell ref="I63:I66"/>
    <mergeCell ref="J63:J66"/>
    <mergeCell ref="L67:L69"/>
    <mergeCell ref="M67:M69"/>
    <mergeCell ref="A60:A62"/>
    <mergeCell ref="B60:B62"/>
    <mergeCell ref="G60:G62"/>
    <mergeCell ref="H60:H62"/>
    <mergeCell ref="I60:I62"/>
    <mergeCell ref="J60:J62"/>
    <mergeCell ref="K60:K62"/>
    <mergeCell ref="L60:L62"/>
    <mergeCell ref="M60:M62"/>
    <mergeCell ref="A56:A59"/>
    <mergeCell ref="B56:B59"/>
    <mergeCell ref="G56:G59"/>
    <mergeCell ref="H56:H59"/>
    <mergeCell ref="I56:I59"/>
    <mergeCell ref="J56:J59"/>
    <mergeCell ref="K56:K59"/>
    <mergeCell ref="L56:L59"/>
    <mergeCell ref="M56:M59"/>
    <mergeCell ref="K49:K51"/>
    <mergeCell ref="L49:L51"/>
    <mergeCell ref="M49:M51"/>
    <mergeCell ref="A52:A55"/>
    <mergeCell ref="B52:B55"/>
    <mergeCell ref="G52:G55"/>
    <mergeCell ref="H52:H55"/>
    <mergeCell ref="I52:I55"/>
    <mergeCell ref="J52:J55"/>
    <mergeCell ref="K52:K55"/>
    <mergeCell ref="A49:A51"/>
    <mergeCell ref="B49:B51"/>
    <mergeCell ref="G49:G51"/>
    <mergeCell ref="H49:H51"/>
    <mergeCell ref="I49:I51"/>
    <mergeCell ref="J49:J51"/>
    <mergeCell ref="L52:L55"/>
    <mergeCell ref="M52:M55"/>
    <mergeCell ref="A45:A48"/>
    <mergeCell ref="B45:B48"/>
    <mergeCell ref="G45:G48"/>
    <mergeCell ref="H45:H48"/>
    <mergeCell ref="I45:I48"/>
    <mergeCell ref="J45:J48"/>
    <mergeCell ref="K45:K48"/>
    <mergeCell ref="L45:L48"/>
    <mergeCell ref="M45:M48"/>
    <mergeCell ref="A42:A44"/>
    <mergeCell ref="B42:B44"/>
    <mergeCell ref="G42:G44"/>
    <mergeCell ref="H42:H44"/>
    <mergeCell ref="I42:I44"/>
    <mergeCell ref="J42:J44"/>
    <mergeCell ref="K42:K44"/>
    <mergeCell ref="L42:L44"/>
    <mergeCell ref="M42:M44"/>
    <mergeCell ref="K35:K37"/>
    <mergeCell ref="L35:L37"/>
    <mergeCell ref="M35:M37"/>
    <mergeCell ref="A38:A41"/>
    <mergeCell ref="B38:B41"/>
    <mergeCell ref="G38:G41"/>
    <mergeCell ref="H38:H41"/>
    <mergeCell ref="I38:I41"/>
    <mergeCell ref="J38:J41"/>
    <mergeCell ref="K38:K41"/>
    <mergeCell ref="A35:A37"/>
    <mergeCell ref="B35:B37"/>
    <mergeCell ref="G35:G37"/>
    <mergeCell ref="H35:H37"/>
    <mergeCell ref="I35:I37"/>
    <mergeCell ref="J35:J37"/>
    <mergeCell ref="L38:L41"/>
    <mergeCell ref="M38:M41"/>
    <mergeCell ref="A32:A34"/>
    <mergeCell ref="B32:B34"/>
    <mergeCell ref="G32:G34"/>
    <mergeCell ref="H32:H34"/>
    <mergeCell ref="I32:I34"/>
    <mergeCell ref="J32:J34"/>
    <mergeCell ref="K32:K34"/>
    <mergeCell ref="L32:L34"/>
    <mergeCell ref="M32:M34"/>
    <mergeCell ref="A29:A31"/>
    <mergeCell ref="B29:B31"/>
    <mergeCell ref="G29:G31"/>
    <mergeCell ref="H29:H31"/>
    <mergeCell ref="I29:I31"/>
    <mergeCell ref="J29:J31"/>
    <mergeCell ref="K29:K31"/>
    <mergeCell ref="L29:L31"/>
    <mergeCell ref="M29:M31"/>
    <mergeCell ref="K23:K25"/>
    <mergeCell ref="L23:L25"/>
    <mergeCell ref="M23:M25"/>
    <mergeCell ref="A26:A28"/>
    <mergeCell ref="B26:B28"/>
    <mergeCell ref="G26:G28"/>
    <mergeCell ref="H26:H28"/>
    <mergeCell ref="I26:I28"/>
    <mergeCell ref="J26:J28"/>
    <mergeCell ref="K26:K28"/>
    <mergeCell ref="A23:A25"/>
    <mergeCell ref="B23:B25"/>
    <mergeCell ref="G23:G25"/>
    <mergeCell ref="H23:H25"/>
    <mergeCell ref="I23:I25"/>
    <mergeCell ref="J23:J25"/>
    <mergeCell ref="L26:L28"/>
    <mergeCell ref="M26:M28"/>
    <mergeCell ref="A19:A22"/>
    <mergeCell ref="B19:B22"/>
    <mergeCell ref="G19:G22"/>
    <mergeCell ref="H19:H22"/>
    <mergeCell ref="I19:I22"/>
    <mergeCell ref="J19:J22"/>
    <mergeCell ref="K19:K22"/>
    <mergeCell ref="L19:L22"/>
    <mergeCell ref="M19:M22"/>
    <mergeCell ref="A2:M2"/>
    <mergeCell ref="A4:A5"/>
    <mergeCell ref="B4:B5"/>
    <mergeCell ref="C4:E4"/>
    <mergeCell ref="F4:F5"/>
    <mergeCell ref="G4:K4"/>
    <mergeCell ref="L4:L5"/>
    <mergeCell ref="M4:M5"/>
    <mergeCell ref="K6:K10"/>
    <mergeCell ref="L6:L10"/>
    <mergeCell ref="M6:M10"/>
    <mergeCell ref="A6:A10"/>
    <mergeCell ref="B6:B10"/>
    <mergeCell ref="G6:G10"/>
    <mergeCell ref="H6:H10"/>
    <mergeCell ref="I6:I10"/>
    <mergeCell ref="J6:J10"/>
    <mergeCell ref="L11:L14"/>
    <mergeCell ref="M11:M14"/>
    <mergeCell ref="A15:A18"/>
    <mergeCell ref="B15:B18"/>
    <mergeCell ref="G15:G18"/>
    <mergeCell ref="H15:H18"/>
    <mergeCell ref="I15:I18"/>
    <mergeCell ref="J15:J18"/>
    <mergeCell ref="K15:K18"/>
    <mergeCell ref="L15:L18"/>
    <mergeCell ref="M15:M18"/>
    <mergeCell ref="A11:A14"/>
    <mergeCell ref="B11:B14"/>
    <mergeCell ref="G11:G14"/>
    <mergeCell ref="H11:H14"/>
    <mergeCell ref="I11:I14"/>
    <mergeCell ref="J11:J14"/>
    <mergeCell ref="K11:K14"/>
    <mergeCell ref="M209:M212"/>
    <mergeCell ref="L209:L212"/>
    <mergeCell ref="G209:G212"/>
    <mergeCell ref="H209:H212"/>
    <mergeCell ref="I209:I212"/>
    <mergeCell ref="J209:J212"/>
    <mergeCell ref="K209:K212"/>
    <mergeCell ref="L215:L218"/>
    <mergeCell ref="M215:M218"/>
    <mergeCell ref="L213:L214"/>
    <mergeCell ref="M213:M214"/>
    <mergeCell ref="K83:K87"/>
    <mergeCell ref="L83:L87"/>
    <mergeCell ref="M83:M87"/>
    <mergeCell ref="A71:A75"/>
    <mergeCell ref="B71:B75"/>
    <mergeCell ref="G71:G75"/>
    <mergeCell ref="H71:H75"/>
    <mergeCell ref="I71:I75"/>
    <mergeCell ref="J71:J75"/>
    <mergeCell ref="K71:K75"/>
    <mergeCell ref="L71:L75"/>
    <mergeCell ref="M71:M75"/>
    <mergeCell ref="A76:A78"/>
    <mergeCell ref="B76:B78"/>
    <mergeCell ref="G76:G78"/>
    <mergeCell ref="H76:H78"/>
    <mergeCell ref="I76:I78"/>
    <mergeCell ref="J76:J78"/>
    <mergeCell ref="K76:K78"/>
    <mergeCell ref="L76:L78"/>
    <mergeCell ref="M76:M78"/>
    <mergeCell ref="K79:K82"/>
    <mergeCell ref="L79:L82"/>
    <mergeCell ref="M79:M82"/>
  </mergeCells>
  <conditionalFormatting sqref="C15:C37">
    <cfRule type="expression" dxfId="1" priority="1">
      <formula>#REF!="Всего"</formula>
    </cfRule>
  </conditionalFormatting>
  <dataValidations count="1">
    <dataValidation type="decimal" operator="greaterThanOrEqual" allowBlank="1" showInputMessage="1" showErrorMessage="1" sqref="E24 D24:D25 G36:G37 G24:G25 G27:G28 G30:G31 G33:G34 G16:G18 D16:E18 D22:E22 G20:G22">
      <formula1>0</formula1>
    </dataValidation>
  </dataValidations>
  <pageMargins left="0.70866141732283472" right="0.70866141732283472" top="0.74803149606299213" bottom="0.74803149606299213" header="0.31496062992125984" footer="0.31496062992125984"/>
  <pageSetup paperSize="9" scale="3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417"/>
  <sheetViews>
    <sheetView view="pageBreakPreview" zoomScale="60" zoomScaleNormal="90" workbookViewId="0">
      <selection activeCell="A5" sqref="A5:E9"/>
    </sheetView>
  </sheetViews>
  <sheetFormatPr defaultRowHeight="15" x14ac:dyDescent="0.25"/>
  <cols>
    <col min="1" max="1" width="6.42578125" customWidth="1"/>
    <col min="2" max="2" width="39.85546875" customWidth="1"/>
    <col min="3" max="3" width="16.42578125" customWidth="1"/>
    <col min="4" max="4" width="15.85546875" customWidth="1"/>
    <col min="5" max="5" width="12.5703125" customWidth="1"/>
    <col min="6" max="6" width="5" customWidth="1"/>
    <col min="7" max="7" width="16.42578125" customWidth="1"/>
    <col min="8" max="8" width="13.42578125" customWidth="1"/>
    <col min="9" max="9" width="16.42578125" customWidth="1"/>
    <col min="10" max="10" width="13.140625" customWidth="1"/>
    <col min="11" max="11" width="13.42578125" customWidth="1"/>
    <col min="12" max="12" width="10" customWidth="1"/>
    <col min="13" max="13" width="10.140625" customWidth="1"/>
    <col min="14" max="14" width="64.140625" customWidth="1"/>
  </cols>
  <sheetData>
    <row r="1" spans="1:14" x14ac:dyDescent="0.25">
      <c r="N1" s="111" t="s">
        <v>1172</v>
      </c>
    </row>
    <row r="2" spans="1:14" x14ac:dyDescent="0.25">
      <c r="A2" s="829" t="s">
        <v>1593</v>
      </c>
      <c r="B2" s="829"/>
      <c r="C2" s="829"/>
      <c r="D2" s="829"/>
      <c r="E2" s="829"/>
      <c r="F2" s="829"/>
      <c r="G2" s="829"/>
      <c r="H2" s="829"/>
      <c r="I2" s="829"/>
      <c r="J2" s="829"/>
      <c r="K2" s="829"/>
      <c r="L2" s="829"/>
      <c r="M2" s="829"/>
      <c r="N2" s="829"/>
    </row>
    <row r="3" spans="1:14" x14ac:dyDescent="0.25">
      <c r="A3" s="830" t="s">
        <v>34</v>
      </c>
      <c r="B3" s="832" t="s">
        <v>652</v>
      </c>
      <c r="C3" s="834" t="s">
        <v>651</v>
      </c>
      <c r="D3" s="834" t="s">
        <v>650</v>
      </c>
      <c r="E3" s="836" t="s">
        <v>649</v>
      </c>
      <c r="F3" s="834" t="s">
        <v>648</v>
      </c>
      <c r="G3" s="838" t="s">
        <v>1596</v>
      </c>
      <c r="H3" s="840" t="s">
        <v>1594</v>
      </c>
      <c r="I3" s="840"/>
      <c r="J3" s="840"/>
      <c r="K3" s="840"/>
      <c r="L3" s="840"/>
      <c r="M3" s="841" t="s">
        <v>647</v>
      </c>
      <c r="N3" s="834" t="s">
        <v>646</v>
      </c>
    </row>
    <row r="4" spans="1:14" ht="45" x14ac:dyDescent="0.25">
      <c r="A4" s="831"/>
      <c r="B4" s="833"/>
      <c r="C4" s="835"/>
      <c r="D4" s="835"/>
      <c r="E4" s="837"/>
      <c r="F4" s="835"/>
      <c r="G4" s="839"/>
      <c r="H4" s="484" t="s">
        <v>645</v>
      </c>
      <c r="I4" s="485" t="s">
        <v>644</v>
      </c>
      <c r="J4" s="485" t="s">
        <v>1595</v>
      </c>
      <c r="K4" s="485" t="s">
        <v>643</v>
      </c>
      <c r="L4" s="486" t="s">
        <v>642</v>
      </c>
      <c r="M4" s="842"/>
      <c r="N4" s="835"/>
    </row>
    <row r="5" spans="1:14" ht="21" x14ac:dyDescent="0.25">
      <c r="A5" s="852" t="s">
        <v>187</v>
      </c>
      <c r="B5" s="853"/>
      <c r="C5" s="853"/>
      <c r="D5" s="853"/>
      <c r="E5" s="854"/>
      <c r="F5" s="487" t="s">
        <v>3</v>
      </c>
      <c r="G5" s="488">
        <f>SUM(G10,G45,G63,G101,G131,G362,G371,)</f>
        <v>14322862.125390001</v>
      </c>
      <c r="H5" s="488">
        <f>SUM(H10,H45,H63,H101,H131,H362,H371,H411,)</f>
        <v>11974446.442849999</v>
      </c>
      <c r="I5" s="488">
        <f>SUM(I10,I45,I63,I101,I131,I362,I371,I411)</f>
        <v>10600550.371779999</v>
      </c>
      <c r="J5" s="488">
        <f>SUM(J10,J45,J63,J101,J131,J362,J371,)</f>
        <v>7585779.8956199987</v>
      </c>
      <c r="K5" s="488">
        <f>SUM(K6:K9)</f>
        <v>1005043.4869400001</v>
      </c>
      <c r="L5" s="489">
        <f>J5/H5</f>
        <v>0.633497333828697</v>
      </c>
      <c r="M5" s="861"/>
      <c r="N5" s="862"/>
    </row>
    <row r="6" spans="1:14" x14ac:dyDescent="0.25">
      <c r="A6" s="855"/>
      <c r="B6" s="856"/>
      <c r="C6" s="856"/>
      <c r="D6" s="856"/>
      <c r="E6" s="857"/>
      <c r="F6" s="487" t="s">
        <v>179</v>
      </c>
      <c r="G6" s="488">
        <f>SUM(G11,G46,G64,G102,G132,G372,G363,G412)</f>
        <v>8285853.1499199998</v>
      </c>
      <c r="H6" s="488">
        <f>SUM(H11,H46,H64,H102,H132,H372,H363,H412)</f>
        <v>7051637.2424400002</v>
      </c>
      <c r="I6" s="488">
        <f>SUM(I11,I46,I64,I102,I132,I372,I363,I412,)</f>
        <v>6482793.9370799996</v>
      </c>
      <c r="J6" s="488">
        <f>SUM(J11,J46,J64,J102,J132,J372,J363,)</f>
        <v>4246626.0261699995</v>
      </c>
      <c r="K6" s="488">
        <f>SUM(K11,K46,K64,K102,K132,K372,K363,)</f>
        <v>636904.78792000003</v>
      </c>
      <c r="L6" s="489">
        <f t="shared" ref="L6:L18" si="0">J6/H6</f>
        <v>0.60221844660582491</v>
      </c>
      <c r="M6" s="861"/>
      <c r="N6" s="863"/>
    </row>
    <row r="7" spans="1:14" x14ac:dyDescent="0.25">
      <c r="A7" s="855"/>
      <c r="B7" s="856"/>
      <c r="C7" s="856"/>
      <c r="D7" s="856"/>
      <c r="E7" s="857"/>
      <c r="F7" s="487" t="s">
        <v>639</v>
      </c>
      <c r="G7" s="488">
        <f>SUM(G12,G47,G65,G103,G133,G373)</f>
        <v>3417822.4804499997</v>
      </c>
      <c r="H7" s="488">
        <f>SUM(H12,H47,H65,H103,H133,H373,)</f>
        <v>3336223.5242399997</v>
      </c>
      <c r="I7" s="488">
        <f>SUM(I12,I47,I65,I103,I133,I373,)</f>
        <v>3265384.2235599998</v>
      </c>
      <c r="J7" s="488">
        <f>SUM(J12,J47,J65,J103,J133,J373,)</f>
        <v>2898498.51511</v>
      </c>
      <c r="K7" s="488">
        <f>SUM(K65,K12,K47,K103,K133,K373,)</f>
        <v>365905.90012000001</v>
      </c>
      <c r="L7" s="489">
        <f>J7/H7</f>
        <v>0.86879625841925123</v>
      </c>
      <c r="M7" s="861"/>
      <c r="N7" s="863"/>
    </row>
    <row r="8" spans="1:14" x14ac:dyDescent="0.25">
      <c r="A8" s="855"/>
      <c r="B8" s="856"/>
      <c r="C8" s="856"/>
      <c r="D8" s="856"/>
      <c r="E8" s="857"/>
      <c r="F8" s="487" t="s">
        <v>6</v>
      </c>
      <c r="G8" s="488">
        <f>SUM(G48,G66,G104,G134,G374,G13,)</f>
        <v>1189227.3050200001</v>
      </c>
      <c r="H8" s="488">
        <f>SUM(H48,H66,H104,H134,H374,H13,)</f>
        <v>879446.27462000004</v>
      </c>
      <c r="I8" s="488">
        <f>SUM(I48,I66,I104,I134,I374,I13,)</f>
        <v>701264.82589999994</v>
      </c>
      <c r="J8" s="488">
        <f>SUM(J48,J66,J104,J134,J374,J13,)</f>
        <v>421514.75433999998</v>
      </c>
      <c r="K8" s="488">
        <f>SUM(K66,K134,K48,K13,K104,K374,)</f>
        <v>2232.7988999999998</v>
      </c>
      <c r="L8" s="489">
        <f t="shared" si="0"/>
        <v>0.47929562783369833</v>
      </c>
      <c r="M8" s="861"/>
      <c r="N8" s="863"/>
    </row>
    <row r="9" spans="1:14" x14ac:dyDescent="0.25">
      <c r="A9" s="858"/>
      <c r="B9" s="859"/>
      <c r="C9" s="859"/>
      <c r="D9" s="859"/>
      <c r="E9" s="860"/>
      <c r="F9" s="487" t="s">
        <v>7</v>
      </c>
      <c r="G9" s="488">
        <f>SUM(G135,G364,G67,G105,G14,)</f>
        <v>1429959.1900000002</v>
      </c>
      <c r="H9" s="488">
        <f>SUM(H135,H364,H67,H105,H14,H413,)</f>
        <v>707139.40155000007</v>
      </c>
      <c r="I9" s="488">
        <f>SUM(I135,I364,I67,I105,I14,I413)</f>
        <v>151107.38524</v>
      </c>
      <c r="J9" s="488">
        <f>SUM(J364,J14,J67,J105,J135,)</f>
        <v>19140.599999999999</v>
      </c>
      <c r="K9" s="488">
        <f>SUM(K14,K67,K105,K135,K364,)</f>
        <v>0</v>
      </c>
      <c r="L9" s="489">
        <f t="shared" si="0"/>
        <v>2.7067647422905784E-2</v>
      </c>
      <c r="M9" s="861"/>
      <c r="N9" s="863"/>
    </row>
    <row r="10" spans="1:14" ht="21" x14ac:dyDescent="0.25">
      <c r="A10" s="864" t="s">
        <v>1173</v>
      </c>
      <c r="B10" s="865"/>
      <c r="C10" s="865"/>
      <c r="D10" s="865"/>
      <c r="E10" s="866"/>
      <c r="F10" s="586" t="s">
        <v>3</v>
      </c>
      <c r="G10" s="587">
        <f>SUM(G11:G14)</f>
        <v>1527337.7999999998</v>
      </c>
      <c r="H10" s="587">
        <f>H11+H12+H14</f>
        <v>1677764.6</v>
      </c>
      <c r="I10" s="587">
        <f>I11+I12</f>
        <v>1498300.5</v>
      </c>
      <c r="J10" s="587">
        <f>J11+J12</f>
        <v>1254170.3999999999</v>
      </c>
      <c r="K10" s="587">
        <f>K11+K12</f>
        <v>43502.5</v>
      </c>
      <c r="L10" s="588">
        <f t="shared" si="0"/>
        <v>0.74752465274329893</v>
      </c>
      <c r="M10" s="876"/>
      <c r="N10" s="878"/>
    </row>
    <row r="11" spans="1:14" x14ac:dyDescent="0.25">
      <c r="A11" s="867"/>
      <c r="B11" s="868"/>
      <c r="C11" s="868"/>
      <c r="D11" s="868"/>
      <c r="E11" s="869"/>
      <c r="F11" s="589" t="s">
        <v>179</v>
      </c>
      <c r="G11" s="590">
        <f>G17+G20+G28+G23+G31+G36+G41</f>
        <v>539014</v>
      </c>
      <c r="H11" s="590">
        <f>SUM(H17,H20,H28,H23,H31,H36,H41,)</f>
        <v>643980.19999999995</v>
      </c>
      <c r="I11" s="590">
        <f>I17+I20+I28+I23+I31+I36+I41</f>
        <v>535496.20000000007</v>
      </c>
      <c r="J11" s="590">
        <f>J17+J20+J28+J23+J31+J36+J41</f>
        <v>411521</v>
      </c>
      <c r="K11" s="590">
        <f>SUM(K17+K23+K28+K31+K36+K41)</f>
        <v>41472.5</v>
      </c>
      <c r="L11" s="588">
        <f t="shared" si="0"/>
        <v>0.63902741109121064</v>
      </c>
      <c r="M11" s="877"/>
      <c r="N11" s="879"/>
    </row>
    <row r="12" spans="1:14" x14ac:dyDescent="0.25">
      <c r="A12" s="867"/>
      <c r="B12" s="868"/>
      <c r="C12" s="868"/>
      <c r="D12" s="868"/>
      <c r="E12" s="869"/>
      <c r="F12" s="589" t="s">
        <v>5</v>
      </c>
      <c r="G12" s="590">
        <f>G29+G18+G21+G24+G32+G37+G42</f>
        <v>978723.79999999993</v>
      </c>
      <c r="H12" s="590">
        <f>H18+H21+H29+H24+H32+H37+H42</f>
        <v>1024584.4</v>
      </c>
      <c r="I12" s="590">
        <f>I18+I21+I29+I24+I32+I37+I42</f>
        <v>962804.29999999993</v>
      </c>
      <c r="J12" s="590">
        <f>SUM(J18+J21+J24+J29+J32+J37+J42)</f>
        <v>842649.4</v>
      </c>
      <c r="K12" s="590">
        <f>SUM(K18+K21+K24+K29+K32+K37+K42)</f>
        <v>2030</v>
      </c>
      <c r="L12" s="588">
        <f t="shared" si="0"/>
        <v>0.82243044106468921</v>
      </c>
      <c r="M12" s="479"/>
      <c r="N12" s="483"/>
    </row>
    <row r="13" spans="1:14" x14ac:dyDescent="0.25">
      <c r="A13" s="870"/>
      <c r="B13" s="871"/>
      <c r="C13" s="871"/>
      <c r="D13" s="871"/>
      <c r="E13" s="872"/>
      <c r="F13" s="589" t="s">
        <v>6</v>
      </c>
      <c r="G13" s="590">
        <f>G25+G33+G38+G43</f>
        <v>0</v>
      </c>
      <c r="H13" s="590">
        <f t="shared" ref="H13:K14" si="1">SUM(H25+H33+H38+H43)</f>
        <v>0</v>
      </c>
      <c r="I13" s="590">
        <f t="shared" si="1"/>
        <v>0</v>
      </c>
      <c r="J13" s="590">
        <f t="shared" si="1"/>
        <v>0</v>
      </c>
      <c r="K13" s="590">
        <f t="shared" si="1"/>
        <v>0</v>
      </c>
      <c r="L13" s="588">
        <v>0</v>
      </c>
      <c r="M13" s="479"/>
      <c r="N13" s="483"/>
    </row>
    <row r="14" spans="1:14" x14ac:dyDescent="0.25">
      <c r="A14" s="873"/>
      <c r="B14" s="874"/>
      <c r="C14" s="874"/>
      <c r="D14" s="874"/>
      <c r="E14" s="875"/>
      <c r="F14" s="589" t="s">
        <v>7</v>
      </c>
      <c r="G14" s="590">
        <f>G26+G34+G39+G44</f>
        <v>9600</v>
      </c>
      <c r="H14" s="590">
        <f t="shared" si="1"/>
        <v>9200</v>
      </c>
      <c r="I14" s="590">
        <f t="shared" si="1"/>
        <v>0</v>
      </c>
      <c r="J14" s="590">
        <f t="shared" si="1"/>
        <v>0</v>
      </c>
      <c r="K14" s="590">
        <f t="shared" si="1"/>
        <v>0</v>
      </c>
      <c r="L14" s="588">
        <v>0</v>
      </c>
      <c r="M14" s="480"/>
      <c r="N14" s="483"/>
    </row>
    <row r="15" spans="1:14" x14ac:dyDescent="0.25">
      <c r="A15" s="843" t="s">
        <v>641</v>
      </c>
      <c r="B15" s="844"/>
      <c r="C15" s="844"/>
      <c r="D15" s="844"/>
      <c r="E15" s="844"/>
      <c r="F15" s="844"/>
      <c r="G15" s="844"/>
      <c r="H15" s="844"/>
      <c r="I15" s="844"/>
      <c r="J15" s="844"/>
      <c r="K15" s="844"/>
      <c r="L15" s="844"/>
      <c r="M15" s="844"/>
      <c r="N15" s="845"/>
    </row>
    <row r="16" spans="1:14" x14ac:dyDescent="0.25">
      <c r="A16" s="846">
        <v>1</v>
      </c>
      <c r="B16" s="847" t="s">
        <v>1503</v>
      </c>
      <c r="C16" s="848" t="s">
        <v>985</v>
      </c>
      <c r="D16" s="848" t="s">
        <v>1174</v>
      </c>
      <c r="E16" s="849">
        <v>3725835.5</v>
      </c>
      <c r="F16" s="490" t="s">
        <v>3</v>
      </c>
      <c r="G16" s="491">
        <f>SUM(G17:G18)</f>
        <v>1109517.7</v>
      </c>
      <c r="H16" s="492">
        <f>SUM(H17:H18)</f>
        <v>1543594.6</v>
      </c>
      <c r="I16" s="493">
        <f>SUM(I17:I18)</f>
        <v>1418223.2</v>
      </c>
      <c r="J16" s="493">
        <f>SUM(J17:J18)</f>
        <v>1186830.2</v>
      </c>
      <c r="K16" s="491">
        <f>K17+K18</f>
        <v>2859.2</v>
      </c>
      <c r="L16" s="494">
        <f t="shared" si="0"/>
        <v>0.76887428862474638</v>
      </c>
      <c r="M16" s="850">
        <v>0.438</v>
      </c>
      <c r="N16" s="851" t="s">
        <v>1982</v>
      </c>
    </row>
    <row r="17" spans="1:14" x14ac:dyDescent="0.25">
      <c r="A17" s="846"/>
      <c r="B17" s="847"/>
      <c r="C17" s="848"/>
      <c r="D17" s="848"/>
      <c r="E17" s="849"/>
      <c r="F17" s="490" t="s">
        <v>179</v>
      </c>
      <c r="G17" s="495">
        <f>155738.4+178363.7</f>
        <v>334102.09999999998</v>
      </c>
      <c r="H17" s="496">
        <v>519010.2</v>
      </c>
      <c r="I17" s="496">
        <f>352931.2+102487.7</f>
        <v>455418.9</v>
      </c>
      <c r="J17" s="496">
        <f>241693.1+102487.7</f>
        <v>344180.8</v>
      </c>
      <c r="K17" s="496">
        <v>829.2</v>
      </c>
      <c r="L17" s="494">
        <f t="shared" si="0"/>
        <v>0.66314843137957591</v>
      </c>
      <c r="M17" s="850"/>
      <c r="N17" s="851"/>
    </row>
    <row r="18" spans="1:14" x14ac:dyDescent="0.25">
      <c r="A18" s="846"/>
      <c r="B18" s="847"/>
      <c r="C18" s="848"/>
      <c r="D18" s="848"/>
      <c r="E18" s="849"/>
      <c r="F18" s="490" t="s">
        <v>5</v>
      </c>
      <c r="G18" s="495">
        <f>360000+415415.6</f>
        <v>775415.6</v>
      </c>
      <c r="H18" s="497">
        <v>1024584.4</v>
      </c>
      <c r="I18" s="496">
        <f>711886.2+250918.1</f>
        <v>962804.29999999993</v>
      </c>
      <c r="J18" s="496">
        <f>591731.3+250918.1</f>
        <v>842649.4</v>
      </c>
      <c r="K18" s="496">
        <v>2030</v>
      </c>
      <c r="L18" s="494">
        <f t="shared" si="0"/>
        <v>0.82243044106468921</v>
      </c>
      <c r="M18" s="850"/>
      <c r="N18" s="851"/>
    </row>
    <row r="19" spans="1:14" x14ac:dyDescent="0.25">
      <c r="A19" s="846">
        <v>2</v>
      </c>
      <c r="B19" s="847" t="s">
        <v>1175</v>
      </c>
      <c r="C19" s="848" t="s">
        <v>985</v>
      </c>
      <c r="D19" s="848" t="s">
        <v>1983</v>
      </c>
      <c r="E19" s="897" t="s">
        <v>1504</v>
      </c>
      <c r="F19" s="490" t="s">
        <v>3</v>
      </c>
      <c r="G19" s="491">
        <f>G20+G21</f>
        <v>1412.5</v>
      </c>
      <c r="H19" s="498">
        <f>H20+H21</f>
        <v>20404</v>
      </c>
      <c r="I19" s="491">
        <f>I20+I21</f>
        <v>20404</v>
      </c>
      <c r="J19" s="491">
        <f>J20+J21</f>
        <v>20404</v>
      </c>
      <c r="K19" s="491">
        <f>K20+K21</f>
        <v>0</v>
      </c>
      <c r="L19" s="499">
        <f>J19/H19</f>
        <v>1</v>
      </c>
      <c r="M19" s="850">
        <v>4.6800000000000001E-2</v>
      </c>
      <c r="N19" s="851" t="s">
        <v>1984</v>
      </c>
    </row>
    <row r="20" spans="1:14" x14ac:dyDescent="0.25">
      <c r="A20" s="846"/>
      <c r="B20" s="847"/>
      <c r="C20" s="848"/>
      <c r="D20" s="848"/>
      <c r="E20" s="898"/>
      <c r="F20" s="490" t="s">
        <v>179</v>
      </c>
      <c r="G20" s="495">
        <v>1412.5</v>
      </c>
      <c r="H20" s="497">
        <v>20404</v>
      </c>
      <c r="I20" s="496">
        <f>H20</f>
        <v>20404</v>
      </c>
      <c r="J20" s="496">
        <v>20404</v>
      </c>
      <c r="K20" s="491">
        <v>0</v>
      </c>
      <c r="L20" s="499">
        <f t="shared" ref="L20:L48" si="2">J20/H20</f>
        <v>1</v>
      </c>
      <c r="M20" s="850"/>
      <c r="N20" s="851"/>
    </row>
    <row r="21" spans="1:14" x14ac:dyDescent="0.25">
      <c r="A21" s="846"/>
      <c r="B21" s="847"/>
      <c r="C21" s="848"/>
      <c r="D21" s="848"/>
      <c r="E21" s="899"/>
      <c r="F21" s="490" t="s">
        <v>5</v>
      </c>
      <c r="G21" s="491">
        <v>0</v>
      </c>
      <c r="H21" s="500">
        <v>0</v>
      </c>
      <c r="I21" s="498">
        <v>0</v>
      </c>
      <c r="J21" s="498">
        <v>0</v>
      </c>
      <c r="K21" s="491">
        <v>0</v>
      </c>
      <c r="L21" s="499">
        <v>0</v>
      </c>
      <c r="M21" s="850"/>
      <c r="N21" s="851"/>
    </row>
    <row r="22" spans="1:14" x14ac:dyDescent="0.25">
      <c r="A22" s="880">
        <v>3</v>
      </c>
      <c r="B22" s="882" t="s">
        <v>1505</v>
      </c>
      <c r="C22" s="885" t="s">
        <v>1506</v>
      </c>
      <c r="D22" s="887" t="s">
        <v>1507</v>
      </c>
      <c r="E22" s="890" t="s">
        <v>1508</v>
      </c>
      <c r="F22" s="407" t="s">
        <v>3</v>
      </c>
      <c r="G22" s="501">
        <f>G23+G24+G25+G26</f>
        <v>334063.59999999998</v>
      </c>
      <c r="H22" s="502">
        <f>H23+H24</f>
        <v>50197.1</v>
      </c>
      <c r="I22" s="502">
        <f>I23+I24</f>
        <v>5304.4</v>
      </c>
      <c r="J22" s="502">
        <f>J23+J24</f>
        <v>5304.4</v>
      </c>
      <c r="K22" s="502">
        <f>K23+K24</f>
        <v>0</v>
      </c>
      <c r="L22" s="494">
        <f>IFERROR(J22/H22,0)</f>
        <v>0.10567144317101984</v>
      </c>
      <c r="M22" s="893">
        <v>0.1212</v>
      </c>
      <c r="N22" s="894" t="s">
        <v>1985</v>
      </c>
    </row>
    <row r="23" spans="1:14" x14ac:dyDescent="0.25">
      <c r="A23" s="880"/>
      <c r="B23" s="883"/>
      <c r="C23" s="885"/>
      <c r="D23" s="888"/>
      <c r="E23" s="891"/>
      <c r="F23" s="407" t="s">
        <v>179</v>
      </c>
      <c r="G23" s="503">
        <f>140058.7+6985.9</f>
        <v>147044.6</v>
      </c>
      <c r="H23" s="504">
        <v>50197.1</v>
      </c>
      <c r="I23" s="505">
        <v>5304.4</v>
      </c>
      <c r="J23" s="505">
        <f>I23</f>
        <v>5304.4</v>
      </c>
      <c r="K23" s="506">
        <v>0</v>
      </c>
      <c r="L23" s="494">
        <f t="shared" ref="L23:L44" si="3">IFERROR(J23/H23,0)</f>
        <v>0.10567144317101984</v>
      </c>
      <c r="M23" s="893"/>
      <c r="N23" s="895"/>
    </row>
    <row r="24" spans="1:14" x14ac:dyDescent="0.25">
      <c r="A24" s="880"/>
      <c r="B24" s="883"/>
      <c r="C24" s="885"/>
      <c r="D24" s="888"/>
      <c r="E24" s="891"/>
      <c r="F24" s="407" t="s">
        <v>639</v>
      </c>
      <c r="G24" s="503">
        <v>187019</v>
      </c>
      <c r="H24" s="507">
        <v>0</v>
      </c>
      <c r="I24" s="502">
        <v>0</v>
      </c>
      <c r="J24" s="502">
        <v>0</v>
      </c>
      <c r="K24" s="502">
        <v>0</v>
      </c>
      <c r="L24" s="494">
        <f t="shared" si="3"/>
        <v>0</v>
      </c>
      <c r="M24" s="893"/>
      <c r="N24" s="895"/>
    </row>
    <row r="25" spans="1:14" x14ac:dyDescent="0.25">
      <c r="A25" s="880"/>
      <c r="B25" s="883"/>
      <c r="C25" s="885"/>
      <c r="D25" s="888"/>
      <c r="E25" s="891"/>
      <c r="F25" s="407" t="s">
        <v>6</v>
      </c>
      <c r="G25" s="501">
        <v>0</v>
      </c>
      <c r="H25" s="507">
        <v>0</v>
      </c>
      <c r="I25" s="502">
        <v>0</v>
      </c>
      <c r="J25" s="502">
        <v>0</v>
      </c>
      <c r="K25" s="502">
        <v>0</v>
      </c>
      <c r="L25" s="494">
        <f t="shared" si="3"/>
        <v>0</v>
      </c>
      <c r="M25" s="893"/>
      <c r="N25" s="895"/>
    </row>
    <row r="26" spans="1:14" x14ac:dyDescent="0.25">
      <c r="A26" s="881"/>
      <c r="B26" s="884"/>
      <c r="C26" s="886"/>
      <c r="D26" s="889"/>
      <c r="E26" s="892"/>
      <c r="F26" s="407" t="s">
        <v>7</v>
      </c>
      <c r="G26" s="501">
        <v>0</v>
      </c>
      <c r="H26" s="507">
        <v>0</v>
      </c>
      <c r="I26" s="502">
        <v>0</v>
      </c>
      <c r="J26" s="502">
        <v>0</v>
      </c>
      <c r="K26" s="502">
        <v>0</v>
      </c>
      <c r="L26" s="494">
        <f t="shared" si="3"/>
        <v>0</v>
      </c>
      <c r="M26" s="893"/>
      <c r="N26" s="896"/>
    </row>
    <row r="27" spans="1:14" x14ac:dyDescent="0.25">
      <c r="A27" s="911">
        <v>4</v>
      </c>
      <c r="B27" s="913" t="s">
        <v>1176</v>
      </c>
      <c r="C27" s="915" t="s">
        <v>1177</v>
      </c>
      <c r="D27" s="915" t="s">
        <v>1986</v>
      </c>
      <c r="E27" s="897">
        <v>111547</v>
      </c>
      <c r="F27" s="490" t="s">
        <v>3</v>
      </c>
      <c r="G27" s="502">
        <f>G28+G29</f>
        <v>69915.199999999997</v>
      </c>
      <c r="H27" s="502">
        <f>H28+H29</f>
        <v>41631.800000000003</v>
      </c>
      <c r="I27" s="502">
        <f>I28+I29</f>
        <v>41631.800000000003</v>
      </c>
      <c r="J27" s="502">
        <f>J28+J29</f>
        <v>41631.800000000003</v>
      </c>
      <c r="K27" s="502">
        <f>K28+K29</f>
        <v>40643.300000000003</v>
      </c>
      <c r="L27" s="494">
        <f t="shared" si="3"/>
        <v>1</v>
      </c>
      <c r="M27" s="917">
        <v>1</v>
      </c>
      <c r="N27" s="900" t="s">
        <v>1987</v>
      </c>
    </row>
    <row r="28" spans="1:14" x14ac:dyDescent="0.25">
      <c r="A28" s="912"/>
      <c r="B28" s="914"/>
      <c r="C28" s="916"/>
      <c r="D28" s="916"/>
      <c r="E28" s="898"/>
      <c r="F28" s="490" t="s">
        <v>4</v>
      </c>
      <c r="G28" s="508">
        <f>52364.2+1261.8</f>
        <v>53626</v>
      </c>
      <c r="H28" s="495">
        <v>41631.800000000003</v>
      </c>
      <c r="I28" s="509">
        <v>41631.800000000003</v>
      </c>
      <c r="J28" s="495">
        <f>I28</f>
        <v>41631.800000000003</v>
      </c>
      <c r="K28" s="495">
        <v>40643.300000000003</v>
      </c>
      <c r="L28" s="494">
        <f t="shared" si="3"/>
        <v>1</v>
      </c>
      <c r="M28" s="918"/>
      <c r="N28" s="901"/>
    </row>
    <row r="29" spans="1:14" x14ac:dyDescent="0.25">
      <c r="A29" s="912"/>
      <c r="B29" s="914"/>
      <c r="C29" s="916"/>
      <c r="D29" s="916"/>
      <c r="E29" s="898"/>
      <c r="F29" s="490" t="s">
        <v>5</v>
      </c>
      <c r="G29" s="510">
        <v>16289.2</v>
      </c>
      <c r="H29" s="498">
        <v>0</v>
      </c>
      <c r="I29" s="501">
        <v>0</v>
      </c>
      <c r="J29" s="501">
        <v>0</v>
      </c>
      <c r="K29" s="491">
        <v>0</v>
      </c>
      <c r="L29" s="494">
        <f t="shared" si="3"/>
        <v>0</v>
      </c>
      <c r="M29" s="919"/>
      <c r="N29" s="901"/>
    </row>
    <row r="30" spans="1:14" x14ac:dyDescent="0.25">
      <c r="A30" s="880">
        <v>5</v>
      </c>
      <c r="B30" s="902" t="s">
        <v>1509</v>
      </c>
      <c r="C30" s="905" t="s">
        <v>1510</v>
      </c>
      <c r="D30" s="881" t="s">
        <v>1988</v>
      </c>
      <c r="E30" s="908" t="s">
        <v>1989</v>
      </c>
      <c r="F30" s="407" t="s">
        <v>3</v>
      </c>
      <c r="G30" s="346">
        <f>G31+G32+G33+G34</f>
        <v>5712.5</v>
      </c>
      <c r="H30" s="408">
        <f>H31+H32+H33+H34</f>
        <v>5600</v>
      </c>
      <c r="I30" s="408">
        <f t="shared" ref="I30:K30" si="4">I31+I32+I33+I34</f>
        <v>0</v>
      </c>
      <c r="J30" s="408">
        <f t="shared" si="4"/>
        <v>0</v>
      </c>
      <c r="K30" s="408">
        <f t="shared" si="4"/>
        <v>0</v>
      </c>
      <c r="L30" s="494">
        <f t="shared" si="3"/>
        <v>0</v>
      </c>
      <c r="M30" s="893">
        <v>8.2000000000000007E-3</v>
      </c>
      <c r="N30" s="894" t="s">
        <v>1990</v>
      </c>
    </row>
    <row r="31" spans="1:14" x14ac:dyDescent="0.25">
      <c r="A31" s="880"/>
      <c r="B31" s="903"/>
      <c r="C31" s="905"/>
      <c r="D31" s="906"/>
      <c r="E31" s="909"/>
      <c r="F31" s="407" t="s">
        <v>179</v>
      </c>
      <c r="G31" s="508">
        <v>1512.5</v>
      </c>
      <c r="H31" s="408">
        <v>0</v>
      </c>
      <c r="I31" s="408">
        <f>H31</f>
        <v>0</v>
      </c>
      <c r="J31" s="408">
        <f>I31</f>
        <v>0</v>
      </c>
      <c r="K31" s="408">
        <v>0</v>
      </c>
      <c r="L31" s="494">
        <f t="shared" si="3"/>
        <v>0</v>
      </c>
      <c r="M31" s="893"/>
      <c r="N31" s="895"/>
    </row>
    <row r="32" spans="1:14" x14ac:dyDescent="0.25">
      <c r="A32" s="880"/>
      <c r="B32" s="903"/>
      <c r="C32" s="905"/>
      <c r="D32" s="906"/>
      <c r="E32" s="909"/>
      <c r="F32" s="407" t="s">
        <v>639</v>
      </c>
      <c r="G32" s="508">
        <v>0</v>
      </c>
      <c r="H32" s="506">
        <v>0</v>
      </c>
      <c r="I32" s="506">
        <v>0</v>
      </c>
      <c r="J32" s="506">
        <v>0</v>
      </c>
      <c r="K32" s="506">
        <v>0</v>
      </c>
      <c r="L32" s="494">
        <f t="shared" si="3"/>
        <v>0</v>
      </c>
      <c r="M32" s="893"/>
      <c r="N32" s="895"/>
    </row>
    <row r="33" spans="1:14" x14ac:dyDescent="0.25">
      <c r="A33" s="880"/>
      <c r="B33" s="903"/>
      <c r="C33" s="905"/>
      <c r="D33" s="906"/>
      <c r="E33" s="909"/>
      <c r="F33" s="407" t="s">
        <v>6</v>
      </c>
      <c r="G33" s="508">
        <v>0</v>
      </c>
      <c r="H33" s="506">
        <v>0</v>
      </c>
      <c r="I33" s="506">
        <v>0</v>
      </c>
      <c r="J33" s="506">
        <v>0</v>
      </c>
      <c r="K33" s="506">
        <v>0</v>
      </c>
      <c r="L33" s="494">
        <f t="shared" si="3"/>
        <v>0</v>
      </c>
      <c r="M33" s="893"/>
      <c r="N33" s="895"/>
    </row>
    <row r="34" spans="1:14" x14ac:dyDescent="0.25">
      <c r="A34" s="880"/>
      <c r="B34" s="904"/>
      <c r="C34" s="905"/>
      <c r="D34" s="907"/>
      <c r="E34" s="910"/>
      <c r="F34" s="407" t="s">
        <v>7</v>
      </c>
      <c r="G34" s="508">
        <f>4200</f>
        <v>4200</v>
      </c>
      <c r="H34" s="508">
        <v>5600</v>
      </c>
      <c r="I34" s="506">
        <v>0</v>
      </c>
      <c r="J34" s="506">
        <v>0</v>
      </c>
      <c r="K34" s="506">
        <v>0</v>
      </c>
      <c r="L34" s="494">
        <f t="shared" si="3"/>
        <v>0</v>
      </c>
      <c r="M34" s="893"/>
      <c r="N34" s="896"/>
    </row>
    <row r="35" spans="1:14" x14ac:dyDescent="0.25">
      <c r="A35" s="880">
        <v>6</v>
      </c>
      <c r="B35" s="920" t="s">
        <v>1511</v>
      </c>
      <c r="C35" s="905" t="s">
        <v>1510</v>
      </c>
      <c r="D35" s="881" t="s">
        <v>1991</v>
      </c>
      <c r="E35" s="908" t="s">
        <v>1992</v>
      </c>
      <c r="F35" s="407" t="s">
        <v>3</v>
      </c>
      <c r="G35" s="346">
        <f>G36+G37+G38+G39</f>
        <v>6716.3</v>
      </c>
      <c r="H35" s="408">
        <f t="shared" ref="H35:K35" si="5">H36+H37+H38+H39</f>
        <v>3600</v>
      </c>
      <c r="I35" s="408">
        <f t="shared" si="5"/>
        <v>0</v>
      </c>
      <c r="J35" s="408">
        <f t="shared" si="5"/>
        <v>0</v>
      </c>
      <c r="K35" s="408">
        <f t="shared" si="5"/>
        <v>0</v>
      </c>
      <c r="L35" s="494">
        <f t="shared" si="3"/>
        <v>0</v>
      </c>
      <c r="M35" s="893">
        <v>1.7899999999999999E-2</v>
      </c>
      <c r="N35" s="894" t="s">
        <v>1990</v>
      </c>
    </row>
    <row r="36" spans="1:14" x14ac:dyDescent="0.25">
      <c r="A36" s="880"/>
      <c r="B36" s="920"/>
      <c r="C36" s="905"/>
      <c r="D36" s="906"/>
      <c r="E36" s="909"/>
      <c r="F36" s="407" t="s">
        <v>179</v>
      </c>
      <c r="G36" s="495">
        <v>1316.3</v>
      </c>
      <c r="H36" s="408">
        <v>0</v>
      </c>
      <c r="I36" s="408">
        <v>0</v>
      </c>
      <c r="J36" s="408">
        <v>0</v>
      </c>
      <c r="K36" s="408">
        <v>0</v>
      </c>
      <c r="L36" s="494">
        <f t="shared" si="3"/>
        <v>0</v>
      </c>
      <c r="M36" s="893"/>
      <c r="N36" s="895"/>
    </row>
    <row r="37" spans="1:14" x14ac:dyDescent="0.25">
      <c r="A37" s="880"/>
      <c r="B37" s="920"/>
      <c r="C37" s="905"/>
      <c r="D37" s="906"/>
      <c r="E37" s="909"/>
      <c r="F37" s="407" t="s">
        <v>639</v>
      </c>
      <c r="G37" s="508">
        <v>0</v>
      </c>
      <c r="H37" s="506">
        <v>0</v>
      </c>
      <c r="I37" s="506">
        <v>0</v>
      </c>
      <c r="J37" s="506">
        <v>0</v>
      </c>
      <c r="K37" s="506">
        <v>0</v>
      </c>
      <c r="L37" s="494">
        <f t="shared" si="3"/>
        <v>0</v>
      </c>
      <c r="M37" s="893"/>
      <c r="N37" s="895"/>
    </row>
    <row r="38" spans="1:14" x14ac:dyDescent="0.25">
      <c r="A38" s="880"/>
      <c r="B38" s="920"/>
      <c r="C38" s="905"/>
      <c r="D38" s="906"/>
      <c r="E38" s="909"/>
      <c r="F38" s="407" t="s">
        <v>6</v>
      </c>
      <c r="G38" s="508">
        <v>0</v>
      </c>
      <c r="H38" s="506">
        <v>0</v>
      </c>
      <c r="I38" s="506">
        <v>0</v>
      </c>
      <c r="J38" s="506">
        <v>0</v>
      </c>
      <c r="K38" s="506">
        <v>0</v>
      </c>
      <c r="L38" s="494">
        <f t="shared" si="3"/>
        <v>0</v>
      </c>
      <c r="M38" s="893"/>
      <c r="N38" s="895"/>
    </row>
    <row r="39" spans="1:14" x14ac:dyDescent="0.25">
      <c r="A39" s="880"/>
      <c r="B39" s="920"/>
      <c r="C39" s="905"/>
      <c r="D39" s="907"/>
      <c r="E39" s="910"/>
      <c r="F39" s="407" t="s">
        <v>7</v>
      </c>
      <c r="G39" s="508">
        <f>2700+2700</f>
        <v>5400</v>
      </c>
      <c r="H39" s="505">
        <v>3600</v>
      </c>
      <c r="I39" s="506">
        <v>0</v>
      </c>
      <c r="J39" s="506">
        <v>0</v>
      </c>
      <c r="K39" s="506">
        <v>0</v>
      </c>
      <c r="L39" s="494">
        <f t="shared" si="3"/>
        <v>0</v>
      </c>
      <c r="M39" s="893"/>
      <c r="N39" s="896"/>
    </row>
    <row r="40" spans="1:14" x14ac:dyDescent="0.25">
      <c r="A40" s="880">
        <v>7</v>
      </c>
      <c r="B40" s="894" t="s">
        <v>1512</v>
      </c>
      <c r="C40" s="905" t="s">
        <v>1506</v>
      </c>
      <c r="D40" s="881" t="s">
        <v>1993</v>
      </c>
      <c r="E40" s="908" t="s">
        <v>1994</v>
      </c>
      <c r="F40" s="407" t="s">
        <v>3</v>
      </c>
      <c r="G40" s="346">
        <f>G41+G42+G43+G44</f>
        <v>0</v>
      </c>
      <c r="H40" s="408">
        <f t="shared" ref="H40:K40" si="6">H41+H42+H43+H44</f>
        <v>12737.1</v>
      </c>
      <c r="I40" s="408">
        <f t="shared" si="6"/>
        <v>12737.1</v>
      </c>
      <c r="J40" s="408">
        <f t="shared" si="6"/>
        <v>0</v>
      </c>
      <c r="K40" s="408">
        <f t="shared" si="6"/>
        <v>0</v>
      </c>
      <c r="L40" s="494">
        <f t="shared" si="3"/>
        <v>0</v>
      </c>
      <c r="M40" s="893">
        <v>0</v>
      </c>
      <c r="N40" s="894" t="s">
        <v>1995</v>
      </c>
    </row>
    <row r="41" spans="1:14" x14ac:dyDescent="0.25">
      <c r="A41" s="880"/>
      <c r="B41" s="895"/>
      <c r="C41" s="905"/>
      <c r="D41" s="906"/>
      <c r="E41" s="909"/>
      <c r="F41" s="407" t="s">
        <v>179</v>
      </c>
      <c r="G41" s="346">
        <v>0</v>
      </c>
      <c r="H41" s="495">
        <v>12737.1</v>
      </c>
      <c r="I41" s="495">
        <v>12737.1</v>
      </c>
      <c r="J41" s="408">
        <v>0</v>
      </c>
      <c r="K41" s="408">
        <v>0</v>
      </c>
      <c r="L41" s="494">
        <f t="shared" si="3"/>
        <v>0</v>
      </c>
      <c r="M41" s="893"/>
      <c r="N41" s="895"/>
    </row>
    <row r="42" spans="1:14" x14ac:dyDescent="0.25">
      <c r="A42" s="880"/>
      <c r="B42" s="895"/>
      <c r="C42" s="905"/>
      <c r="D42" s="906"/>
      <c r="E42" s="909"/>
      <c r="F42" s="407" t="s">
        <v>639</v>
      </c>
      <c r="G42" s="346">
        <v>0</v>
      </c>
      <c r="H42" s="506">
        <v>0</v>
      </c>
      <c r="I42" s="506">
        <v>0</v>
      </c>
      <c r="J42" s="506">
        <v>0</v>
      </c>
      <c r="K42" s="506">
        <v>0</v>
      </c>
      <c r="L42" s="494">
        <f t="shared" si="3"/>
        <v>0</v>
      </c>
      <c r="M42" s="893"/>
      <c r="N42" s="895"/>
    </row>
    <row r="43" spans="1:14" x14ac:dyDescent="0.25">
      <c r="A43" s="880"/>
      <c r="B43" s="895"/>
      <c r="C43" s="905"/>
      <c r="D43" s="906"/>
      <c r="E43" s="909"/>
      <c r="F43" s="407" t="s">
        <v>6</v>
      </c>
      <c r="G43" s="346">
        <v>0</v>
      </c>
      <c r="H43" s="506">
        <v>0</v>
      </c>
      <c r="I43" s="506">
        <v>0</v>
      </c>
      <c r="J43" s="506">
        <v>0</v>
      </c>
      <c r="K43" s="506">
        <v>0</v>
      </c>
      <c r="L43" s="494">
        <f t="shared" si="3"/>
        <v>0</v>
      </c>
      <c r="M43" s="893"/>
      <c r="N43" s="895"/>
    </row>
    <row r="44" spans="1:14" x14ac:dyDescent="0.25">
      <c r="A44" s="880"/>
      <c r="B44" s="896"/>
      <c r="C44" s="905"/>
      <c r="D44" s="907"/>
      <c r="E44" s="910"/>
      <c r="F44" s="407" t="s">
        <v>7</v>
      </c>
      <c r="G44" s="346">
        <v>0</v>
      </c>
      <c r="H44" s="506">
        <v>0</v>
      </c>
      <c r="I44" s="506">
        <v>0</v>
      </c>
      <c r="J44" s="506">
        <v>0</v>
      </c>
      <c r="K44" s="506">
        <v>0</v>
      </c>
      <c r="L44" s="494">
        <f t="shared" si="3"/>
        <v>0</v>
      </c>
      <c r="M44" s="893"/>
      <c r="N44" s="896"/>
    </row>
    <row r="45" spans="1:14" ht="21" x14ac:dyDescent="0.25">
      <c r="A45" s="864" t="s">
        <v>1178</v>
      </c>
      <c r="B45" s="931"/>
      <c r="C45" s="931"/>
      <c r="D45" s="931"/>
      <c r="E45" s="932"/>
      <c r="F45" s="586" t="s">
        <v>3</v>
      </c>
      <c r="G45" s="587">
        <f>SUM(G50,G54,G58)</f>
        <v>1703450.06913</v>
      </c>
      <c r="H45" s="587">
        <f>SUM(H46:H48)</f>
        <v>1873617.00792</v>
      </c>
      <c r="I45" s="587">
        <f>SUM(I50,I54,I58,)</f>
        <v>1766137.1484400001</v>
      </c>
      <c r="J45" s="587">
        <f>SUM(J50,J54,J58,)</f>
        <v>920166.53888000012</v>
      </c>
      <c r="K45" s="587">
        <f>SUM(K46:K48)</f>
        <v>282922.20078999997</v>
      </c>
      <c r="L45" s="588">
        <f>J45/H45</f>
        <v>0.49111773376861317</v>
      </c>
      <c r="M45" s="934"/>
      <c r="N45" s="935"/>
    </row>
    <row r="46" spans="1:14" x14ac:dyDescent="0.25">
      <c r="A46" s="870"/>
      <c r="B46" s="933"/>
      <c r="C46" s="933"/>
      <c r="D46" s="933"/>
      <c r="E46" s="872"/>
      <c r="F46" s="589" t="s">
        <v>179</v>
      </c>
      <c r="G46" s="590">
        <f>SUM(G51,G55,G59)</f>
        <v>623810.50905999995</v>
      </c>
      <c r="H46" s="590">
        <f>SUM(H51,H55,H59,)</f>
        <v>1049817.68542</v>
      </c>
      <c r="I46" s="590">
        <f>SUM(I51,I55,I59,)</f>
        <v>984591.92422000004</v>
      </c>
      <c r="J46" s="590">
        <f>SUM(J51,J55,J59,)</f>
        <v>370168.48094000004</v>
      </c>
      <c r="K46" s="590">
        <f>SUM(K51+K55)</f>
        <v>23244.83423</v>
      </c>
      <c r="L46" s="591">
        <f t="shared" si="2"/>
        <v>0.35260263384866386</v>
      </c>
      <c r="M46" s="934"/>
      <c r="N46" s="935"/>
    </row>
    <row r="47" spans="1:14" x14ac:dyDescent="0.25">
      <c r="A47" s="870"/>
      <c r="B47" s="933"/>
      <c r="C47" s="933"/>
      <c r="D47" s="933"/>
      <c r="E47" s="872"/>
      <c r="F47" s="589" t="s">
        <v>639</v>
      </c>
      <c r="G47" s="590">
        <f>SUM(G52,G56,G60,)</f>
        <v>686532.9</v>
      </c>
      <c r="H47" s="590">
        <f>SUM(H52,H56,H60,)</f>
        <v>313189.5</v>
      </c>
      <c r="I47" s="590">
        <f>SUM(I52,I56,I60,)</f>
        <v>304473.40000000002</v>
      </c>
      <c r="J47" s="590">
        <f>SUM(J52,J56,,J60,)</f>
        <v>304473.40000000002</v>
      </c>
      <c r="K47" s="590">
        <f>SUM(K52+K56+K60)</f>
        <v>259677.36655999999</v>
      </c>
      <c r="L47" s="591">
        <f t="shared" si="2"/>
        <v>0.97216988436713248</v>
      </c>
      <c r="M47" s="934"/>
      <c r="N47" s="935"/>
    </row>
    <row r="48" spans="1:14" x14ac:dyDescent="0.25">
      <c r="A48" s="873"/>
      <c r="B48" s="874"/>
      <c r="C48" s="874"/>
      <c r="D48" s="874"/>
      <c r="E48" s="875"/>
      <c r="F48" s="589" t="s">
        <v>6</v>
      </c>
      <c r="G48" s="590">
        <f>SUM(G53,G57,G61,)</f>
        <v>393106.66006999998</v>
      </c>
      <c r="H48" s="590">
        <f>SUM(H53,H57,H61,)</f>
        <v>510609.82250000001</v>
      </c>
      <c r="I48" s="590">
        <f>SUM(I53,I57,,)</f>
        <v>477071.82422000001</v>
      </c>
      <c r="J48" s="590">
        <f>SUM(J53,J57,J61,)</f>
        <v>245524.65794</v>
      </c>
      <c r="K48" s="590">
        <f>0</f>
        <v>0</v>
      </c>
      <c r="L48" s="591">
        <f t="shared" si="2"/>
        <v>0.48084593582216095</v>
      </c>
      <c r="M48" s="934"/>
      <c r="N48" s="935"/>
    </row>
    <row r="49" spans="1:14" x14ac:dyDescent="0.25">
      <c r="A49" s="843" t="s">
        <v>981</v>
      </c>
      <c r="B49" s="844"/>
      <c r="C49" s="844"/>
      <c r="D49" s="844"/>
      <c r="E49" s="844"/>
      <c r="F49" s="844"/>
      <c r="G49" s="844"/>
      <c r="H49" s="844"/>
      <c r="I49" s="844"/>
      <c r="J49" s="844"/>
      <c r="K49" s="844"/>
      <c r="L49" s="844"/>
      <c r="M49" s="844"/>
      <c r="N49" s="845"/>
    </row>
    <row r="50" spans="1:14" ht="21" x14ac:dyDescent="0.25">
      <c r="A50" s="911">
        <v>8</v>
      </c>
      <c r="B50" s="924" t="s">
        <v>982</v>
      </c>
      <c r="C50" s="911" t="s">
        <v>983</v>
      </c>
      <c r="D50" s="911" t="s">
        <v>1179</v>
      </c>
      <c r="E50" s="897">
        <v>2063291.2</v>
      </c>
      <c r="F50" s="511" t="s">
        <v>3</v>
      </c>
      <c r="G50" s="512">
        <f>SUM(G51:G53)</f>
        <v>1042071.8001399999</v>
      </c>
      <c r="H50" s="513">
        <f>SUM(H51:H53)</f>
        <v>1021219.645</v>
      </c>
      <c r="I50" s="513">
        <f>SUM(I51:I53)</f>
        <v>954143.64844000002</v>
      </c>
      <c r="J50" s="512">
        <f>SUM(J51:J53)</f>
        <v>491049.31588000001</v>
      </c>
      <c r="K50" s="512">
        <f>SUM(K51:K51)</f>
        <v>0</v>
      </c>
      <c r="L50" s="514">
        <f>J50/H50</f>
        <v>0.48084593582216095</v>
      </c>
      <c r="M50" s="927">
        <v>0.46</v>
      </c>
      <c r="N50" s="913" t="s">
        <v>1759</v>
      </c>
    </row>
    <row r="51" spans="1:14" x14ac:dyDescent="0.25">
      <c r="A51" s="912"/>
      <c r="B51" s="925"/>
      <c r="C51" s="912"/>
      <c r="D51" s="912"/>
      <c r="E51" s="898"/>
      <c r="F51" s="490" t="s">
        <v>179</v>
      </c>
      <c r="G51" s="515">
        <v>372100.02006999997</v>
      </c>
      <c r="H51" s="516">
        <v>510609.82250000001</v>
      </c>
      <c r="I51" s="517">
        <v>477071.82422000001</v>
      </c>
      <c r="J51" s="517">
        <v>245524.65794</v>
      </c>
      <c r="K51" s="491">
        <v>0</v>
      </c>
      <c r="L51" s="494">
        <f>J51/H51</f>
        <v>0.48084593582216095</v>
      </c>
      <c r="M51" s="928"/>
      <c r="N51" s="921"/>
    </row>
    <row r="52" spans="1:14" x14ac:dyDescent="0.25">
      <c r="A52" s="936"/>
      <c r="B52" s="938"/>
      <c r="C52" s="936"/>
      <c r="D52" s="936"/>
      <c r="E52" s="936"/>
      <c r="F52" s="490" t="s">
        <v>5</v>
      </c>
      <c r="G52" s="515">
        <v>277019.5</v>
      </c>
      <c r="H52" s="518">
        <v>0</v>
      </c>
      <c r="I52" s="519">
        <v>0</v>
      </c>
      <c r="J52" s="519">
        <v>0</v>
      </c>
      <c r="K52" s="491">
        <v>0</v>
      </c>
      <c r="L52" s="494">
        <v>0</v>
      </c>
      <c r="M52" s="936"/>
      <c r="N52" s="921"/>
    </row>
    <row r="53" spans="1:14" x14ac:dyDescent="0.25">
      <c r="A53" s="937"/>
      <c r="B53" s="939"/>
      <c r="C53" s="937"/>
      <c r="D53" s="937"/>
      <c r="E53" s="937"/>
      <c r="F53" s="490" t="s">
        <v>6</v>
      </c>
      <c r="G53" s="515">
        <v>392952.28006999998</v>
      </c>
      <c r="H53" s="516">
        <v>510609.82250000001</v>
      </c>
      <c r="I53" s="517">
        <v>477071.82422000001</v>
      </c>
      <c r="J53" s="517">
        <v>245524.65794</v>
      </c>
      <c r="K53" s="491">
        <v>0</v>
      </c>
      <c r="L53" s="494">
        <v>7.0000000000000001E-3</v>
      </c>
      <c r="M53" s="937"/>
      <c r="N53" s="922"/>
    </row>
    <row r="54" spans="1:14" ht="21" x14ac:dyDescent="0.25">
      <c r="A54" s="911">
        <v>9</v>
      </c>
      <c r="B54" s="924" t="s">
        <v>984</v>
      </c>
      <c r="C54" s="911" t="s">
        <v>1180</v>
      </c>
      <c r="D54" s="911" t="s">
        <v>1760</v>
      </c>
      <c r="E54" s="897" t="s">
        <v>1181</v>
      </c>
      <c r="F54" s="511" t="s">
        <v>3</v>
      </c>
      <c r="G54" s="512">
        <f>SUM(G55:G57)</f>
        <v>436201.02899000002</v>
      </c>
      <c r="H54" s="512">
        <f>SUM(H55:H57)</f>
        <v>410015.36291999999</v>
      </c>
      <c r="I54" s="512">
        <f>SUM(I55:I57)</f>
        <v>383089.7</v>
      </c>
      <c r="J54" s="512">
        <f>SUM(J55:J57)</f>
        <v>213.423</v>
      </c>
      <c r="K54" s="512">
        <f>SUM(K55:K57)</f>
        <v>80154.600789999997</v>
      </c>
      <c r="L54" s="514">
        <f t="shared" ref="L54:L55" si="7">J54/H54</f>
        <v>5.205243981105214E-4</v>
      </c>
      <c r="M54" s="927" t="s">
        <v>41</v>
      </c>
      <c r="N54" s="913" t="s">
        <v>1761</v>
      </c>
    </row>
    <row r="55" spans="1:14" x14ac:dyDescent="0.25">
      <c r="A55" s="912"/>
      <c r="B55" s="925"/>
      <c r="C55" s="912"/>
      <c r="D55" s="912"/>
      <c r="E55" s="898"/>
      <c r="F55" s="490" t="s">
        <v>179</v>
      </c>
      <c r="G55" s="520">
        <v>248777.22899</v>
      </c>
      <c r="H55" s="521">
        <v>410015.36291999999</v>
      </c>
      <c r="I55" s="522">
        <v>383089.7</v>
      </c>
      <c r="J55" s="522">
        <v>213.423</v>
      </c>
      <c r="K55" s="522">
        <v>23244.83423</v>
      </c>
      <c r="L55" s="523">
        <f t="shared" si="7"/>
        <v>5.205243981105214E-4</v>
      </c>
      <c r="M55" s="928"/>
      <c r="N55" s="914"/>
    </row>
    <row r="56" spans="1:14" x14ac:dyDescent="0.25">
      <c r="A56" s="912"/>
      <c r="B56" s="925"/>
      <c r="C56" s="912"/>
      <c r="D56" s="912"/>
      <c r="E56" s="898"/>
      <c r="F56" s="490" t="s">
        <v>639</v>
      </c>
      <c r="G56" s="520">
        <v>187423.8</v>
      </c>
      <c r="H56" s="520">
        <v>0</v>
      </c>
      <c r="I56" s="520">
        <v>0</v>
      </c>
      <c r="J56" s="520">
        <v>0</v>
      </c>
      <c r="K56" s="524">
        <v>56909.766559999996</v>
      </c>
      <c r="L56" s="523">
        <v>0</v>
      </c>
      <c r="M56" s="928"/>
      <c r="N56" s="914"/>
    </row>
    <row r="57" spans="1:14" x14ac:dyDescent="0.25">
      <c r="A57" s="923"/>
      <c r="B57" s="926"/>
      <c r="C57" s="923"/>
      <c r="D57" s="923"/>
      <c r="E57" s="899"/>
      <c r="F57" s="490" t="s">
        <v>6</v>
      </c>
      <c r="G57" s="491">
        <v>0</v>
      </c>
      <c r="H57" s="525">
        <v>0</v>
      </c>
      <c r="I57" s="525">
        <v>0</v>
      </c>
      <c r="J57" s="525">
        <v>0</v>
      </c>
      <c r="K57" s="491">
        <v>0</v>
      </c>
      <c r="L57" s="494">
        <v>0</v>
      </c>
      <c r="M57" s="929"/>
      <c r="N57" s="930"/>
    </row>
    <row r="58" spans="1:14" x14ac:dyDescent="0.25">
      <c r="A58" s="955">
        <v>10</v>
      </c>
      <c r="B58" s="956" t="s">
        <v>1513</v>
      </c>
      <c r="C58" s="905" t="s">
        <v>1514</v>
      </c>
      <c r="D58" s="908" t="s">
        <v>1515</v>
      </c>
      <c r="E58" s="960">
        <v>667559.24</v>
      </c>
      <c r="F58" s="526" t="s">
        <v>3</v>
      </c>
      <c r="G58" s="513">
        <f>G59+G60+G61+G62</f>
        <v>225177.24000000002</v>
      </c>
      <c r="H58" s="513">
        <f t="shared" ref="H58:K58" si="8">H59+H60+H61+H62</f>
        <v>442382</v>
      </c>
      <c r="I58" s="513">
        <f t="shared" si="8"/>
        <v>428903.80000000005</v>
      </c>
      <c r="J58" s="513">
        <f t="shared" si="8"/>
        <v>428903.80000000005</v>
      </c>
      <c r="K58" s="513">
        <f t="shared" si="8"/>
        <v>202767.6</v>
      </c>
      <c r="L58" s="523">
        <f t="shared" ref="L58:L60" si="9">J58/H58</f>
        <v>0.96953266633814228</v>
      </c>
      <c r="M58" s="963">
        <v>1</v>
      </c>
      <c r="N58" s="940" t="s">
        <v>1762</v>
      </c>
    </row>
    <row r="59" spans="1:14" x14ac:dyDescent="0.25">
      <c r="A59" s="955"/>
      <c r="B59" s="956"/>
      <c r="C59" s="957"/>
      <c r="D59" s="958"/>
      <c r="E59" s="961"/>
      <c r="F59" s="526" t="s">
        <v>179</v>
      </c>
      <c r="G59" s="527">
        <v>2933.26</v>
      </c>
      <c r="H59" s="528">
        <v>129192.5</v>
      </c>
      <c r="I59" s="529">
        <v>124430.39999999999</v>
      </c>
      <c r="J59" s="529">
        <v>124430.39999999999</v>
      </c>
      <c r="K59" s="515">
        <v>0</v>
      </c>
      <c r="L59" s="523">
        <v>0</v>
      </c>
      <c r="M59" s="958"/>
      <c r="N59" s="941"/>
    </row>
    <row r="60" spans="1:14" x14ac:dyDescent="0.25">
      <c r="A60" s="955"/>
      <c r="B60" s="956"/>
      <c r="C60" s="957"/>
      <c r="D60" s="958"/>
      <c r="E60" s="961"/>
      <c r="F60" s="526" t="s">
        <v>639</v>
      </c>
      <c r="G60" s="519">
        <v>222089.60000000001</v>
      </c>
      <c r="H60" s="528">
        <v>313189.5</v>
      </c>
      <c r="I60" s="517">
        <v>304473.40000000002</v>
      </c>
      <c r="J60" s="517">
        <v>304473.40000000002</v>
      </c>
      <c r="K60" s="515">
        <v>202767.6</v>
      </c>
      <c r="L60" s="523">
        <f t="shared" si="9"/>
        <v>0.97216988436713248</v>
      </c>
      <c r="M60" s="958"/>
      <c r="N60" s="941"/>
    </row>
    <row r="61" spans="1:14" x14ac:dyDescent="0.25">
      <c r="A61" s="955"/>
      <c r="B61" s="956"/>
      <c r="C61" s="957"/>
      <c r="D61" s="958"/>
      <c r="E61" s="961"/>
      <c r="F61" s="526" t="s">
        <v>6</v>
      </c>
      <c r="G61" s="515">
        <v>154.38</v>
      </c>
      <c r="H61" s="530">
        <v>0</v>
      </c>
      <c r="I61" s="530">
        <v>0</v>
      </c>
      <c r="J61" s="525">
        <v>0</v>
      </c>
      <c r="K61" s="525">
        <v>0</v>
      </c>
      <c r="L61" s="523">
        <v>0</v>
      </c>
      <c r="M61" s="958"/>
      <c r="N61" s="941"/>
    </row>
    <row r="62" spans="1:14" x14ac:dyDescent="0.25">
      <c r="A62" s="955"/>
      <c r="B62" s="956"/>
      <c r="C62" s="957"/>
      <c r="D62" s="959"/>
      <c r="E62" s="962"/>
      <c r="F62" s="526" t="s">
        <v>7</v>
      </c>
      <c r="G62" s="530">
        <v>0</v>
      </c>
      <c r="H62" s="530">
        <v>0</v>
      </c>
      <c r="I62" s="530">
        <v>0</v>
      </c>
      <c r="J62" s="525">
        <v>0</v>
      </c>
      <c r="K62" s="525">
        <v>0</v>
      </c>
      <c r="L62" s="523">
        <v>0</v>
      </c>
      <c r="M62" s="959"/>
      <c r="N62" s="942"/>
    </row>
    <row r="63" spans="1:14" ht="21" x14ac:dyDescent="0.25">
      <c r="A63" s="864" t="s">
        <v>1182</v>
      </c>
      <c r="B63" s="931"/>
      <c r="C63" s="931"/>
      <c r="D63" s="931"/>
      <c r="E63" s="932"/>
      <c r="F63" s="586" t="s">
        <v>3</v>
      </c>
      <c r="G63" s="587">
        <f>SUM(G64:G67)</f>
        <v>477806.01645000005</v>
      </c>
      <c r="H63" s="592">
        <f>SUM(H64:H67)</f>
        <v>1364595</v>
      </c>
      <c r="I63" s="587">
        <f>SUM(I64:I67)</f>
        <v>1281444.6467599999</v>
      </c>
      <c r="J63" s="587">
        <f>SUM(J64:J67)</f>
        <v>894819.38225999998</v>
      </c>
      <c r="K63" s="587">
        <f>SUM(K64:K67)</f>
        <v>67844.5</v>
      </c>
      <c r="L63" s="588">
        <f>J63/H63</f>
        <v>0.65573989517769005</v>
      </c>
      <c r="M63" s="876"/>
      <c r="N63" s="944"/>
    </row>
    <row r="64" spans="1:14" x14ac:dyDescent="0.25">
      <c r="A64" s="870"/>
      <c r="B64" s="933"/>
      <c r="C64" s="933"/>
      <c r="D64" s="933"/>
      <c r="E64" s="872"/>
      <c r="F64" s="589" t="s">
        <v>179</v>
      </c>
      <c r="G64" s="590">
        <f>SUM(G70,G74,G77,G82,G87,G92,G97,)</f>
        <v>52405.916450000004</v>
      </c>
      <c r="H64" s="590">
        <f>SUM(H70,H74,H77,H82,H87,H92,H97,)</f>
        <v>787299.20000000007</v>
      </c>
      <c r="I64" s="590">
        <f>SUM(I70,I97,I74,I82,I87,I92,I77,)</f>
        <v>704148.77833999996</v>
      </c>
      <c r="J64" s="590">
        <f>SUM(J70,J97,J74,J82,J92,J77)</f>
        <v>457561.39925000007</v>
      </c>
      <c r="K64" s="590">
        <f>SUM(K87+K74)</f>
        <v>67844.5</v>
      </c>
      <c r="L64" s="591">
        <f>J64/H64</f>
        <v>0.58117853955649901</v>
      </c>
      <c r="M64" s="877"/>
      <c r="N64" s="945"/>
    </row>
    <row r="65" spans="1:14" x14ac:dyDescent="0.25">
      <c r="A65" s="870"/>
      <c r="B65" s="933"/>
      <c r="C65" s="933"/>
      <c r="D65" s="933"/>
      <c r="E65" s="872"/>
      <c r="F65" s="589" t="s">
        <v>639</v>
      </c>
      <c r="G65" s="590">
        <f>SUM(G71,G78,G83,G88,G98,G75)</f>
        <v>424710.7</v>
      </c>
      <c r="H65" s="590">
        <f>SUM(H71,H98,H75,H78,H83,)</f>
        <v>554620.89999999991</v>
      </c>
      <c r="I65" s="590">
        <f>SUM(I71,I98,I75,I78,I83,)</f>
        <v>554620.89999999991</v>
      </c>
      <c r="J65" s="590">
        <f>SUM(J71,J98,J75,J78,J83,)</f>
        <v>413360.12321999995</v>
      </c>
      <c r="K65" s="590">
        <f>SUM(K71,K98,)</f>
        <v>0</v>
      </c>
      <c r="L65" s="591">
        <f>J65/H65</f>
        <v>0.7453021031482947</v>
      </c>
      <c r="M65" s="877"/>
      <c r="N65" s="945"/>
    </row>
    <row r="66" spans="1:14" x14ac:dyDescent="0.25">
      <c r="A66" s="870"/>
      <c r="B66" s="933"/>
      <c r="C66" s="933"/>
      <c r="D66" s="933"/>
      <c r="E66" s="872"/>
      <c r="F66" s="589" t="s">
        <v>6</v>
      </c>
      <c r="G66" s="590">
        <f>SUM(G72,G99,G84,G94)</f>
        <v>689.4</v>
      </c>
      <c r="H66" s="590">
        <f>SUM(H72,H79,H84,H89,H99,H94)</f>
        <v>11674.9</v>
      </c>
      <c r="I66" s="590">
        <f>SUM(I72,I99,I94,I89,I84)</f>
        <v>11674.968419999999</v>
      </c>
      <c r="J66" s="590">
        <f>SUM(J72,J99,J84,J94,)</f>
        <v>23897.859789999999</v>
      </c>
      <c r="K66" s="590">
        <f>SUM(K72,K99,K89,)</f>
        <v>0</v>
      </c>
      <c r="L66" s="591">
        <f>J66/H66</f>
        <v>2.0469434247830818</v>
      </c>
      <c r="M66" s="877"/>
      <c r="N66" s="945"/>
    </row>
    <row r="67" spans="1:14" x14ac:dyDescent="0.25">
      <c r="A67" s="873"/>
      <c r="B67" s="874"/>
      <c r="C67" s="874"/>
      <c r="D67" s="874"/>
      <c r="E67" s="875"/>
      <c r="F67" s="589" t="s">
        <v>7</v>
      </c>
      <c r="G67" s="590">
        <v>0</v>
      </c>
      <c r="H67" s="590">
        <f>H90</f>
        <v>11000</v>
      </c>
      <c r="I67" s="590">
        <f>I90</f>
        <v>11000</v>
      </c>
      <c r="J67" s="590">
        <v>0</v>
      </c>
      <c r="K67" s="590">
        <v>0</v>
      </c>
      <c r="L67" s="591">
        <v>0</v>
      </c>
      <c r="M67" s="943"/>
      <c r="N67" s="946"/>
    </row>
    <row r="68" spans="1:14" x14ac:dyDescent="0.25">
      <c r="A68" s="843" t="s">
        <v>640</v>
      </c>
      <c r="B68" s="947"/>
      <c r="C68" s="947"/>
      <c r="D68" s="947"/>
      <c r="E68" s="947"/>
      <c r="F68" s="947"/>
      <c r="G68" s="947"/>
      <c r="H68" s="947"/>
      <c r="I68" s="947"/>
      <c r="J68" s="947"/>
      <c r="K68" s="947"/>
      <c r="L68" s="947"/>
      <c r="M68" s="947"/>
      <c r="N68" s="948"/>
    </row>
    <row r="69" spans="1:14" ht="21" x14ac:dyDescent="0.25">
      <c r="A69" s="911">
        <v>11</v>
      </c>
      <c r="B69" s="949" t="s">
        <v>1516</v>
      </c>
      <c r="C69" s="531"/>
      <c r="D69" s="952" t="s">
        <v>1517</v>
      </c>
      <c r="E69" s="881">
        <v>2269859.2000000002</v>
      </c>
      <c r="F69" s="511" t="s">
        <v>3</v>
      </c>
      <c r="G69" s="532">
        <f>SUM(G70:G72)</f>
        <v>65440</v>
      </c>
      <c r="H69" s="532">
        <f>SUM(H70:H72)</f>
        <v>92170</v>
      </c>
      <c r="I69" s="532">
        <f>SUM(I70:I72)</f>
        <v>92170</v>
      </c>
      <c r="J69" s="532">
        <f>SUM(J70:J72)</f>
        <v>92170</v>
      </c>
      <c r="K69" s="532">
        <f>SUM(K70:K72)</f>
        <v>0</v>
      </c>
      <c r="L69" s="533">
        <f>J69/H69</f>
        <v>1</v>
      </c>
      <c r="M69" s="927">
        <v>7.0000000000000007E-2</v>
      </c>
      <c r="N69" s="924" t="s">
        <v>1749</v>
      </c>
    </row>
    <row r="70" spans="1:14" x14ac:dyDescent="0.25">
      <c r="A70" s="912"/>
      <c r="B70" s="950"/>
      <c r="C70" s="964" t="s">
        <v>1518</v>
      </c>
      <c r="D70" s="953"/>
      <c r="E70" s="954"/>
      <c r="F70" s="490" t="s">
        <v>4</v>
      </c>
      <c r="G70" s="534">
        <v>0</v>
      </c>
      <c r="H70" s="535">
        <v>92170</v>
      </c>
      <c r="I70" s="536">
        <v>92170</v>
      </c>
      <c r="J70" s="536">
        <v>92170</v>
      </c>
      <c r="K70" s="537">
        <v>0</v>
      </c>
      <c r="L70" s="538">
        <v>0</v>
      </c>
      <c r="M70" s="928"/>
      <c r="N70" s="925"/>
    </row>
    <row r="71" spans="1:14" x14ac:dyDescent="0.25">
      <c r="A71" s="912"/>
      <c r="B71" s="950"/>
      <c r="C71" s="964"/>
      <c r="D71" s="953"/>
      <c r="E71" s="954"/>
      <c r="F71" s="490" t="s">
        <v>5</v>
      </c>
      <c r="G71" s="539">
        <v>65440</v>
      </c>
      <c r="H71" s="540">
        <v>0</v>
      </c>
      <c r="I71" s="541">
        <v>0</v>
      </c>
      <c r="J71" s="541">
        <v>0</v>
      </c>
      <c r="K71" s="537">
        <v>0</v>
      </c>
      <c r="L71" s="538">
        <v>0</v>
      </c>
      <c r="M71" s="928"/>
      <c r="N71" s="925"/>
    </row>
    <row r="72" spans="1:14" x14ac:dyDescent="0.25">
      <c r="A72" s="937"/>
      <c r="B72" s="951"/>
      <c r="C72" s="965"/>
      <c r="D72" s="953"/>
      <c r="E72" s="954"/>
      <c r="F72" s="490" t="s">
        <v>6</v>
      </c>
      <c r="G72" s="534">
        <v>0</v>
      </c>
      <c r="H72" s="534">
        <v>0</v>
      </c>
      <c r="I72" s="534">
        <v>0</v>
      </c>
      <c r="J72" s="534">
        <v>0</v>
      </c>
      <c r="K72" s="537">
        <v>0</v>
      </c>
      <c r="L72" s="538">
        <v>0</v>
      </c>
      <c r="M72" s="937"/>
      <c r="N72" s="939"/>
    </row>
    <row r="73" spans="1:14" ht="21" x14ac:dyDescent="0.25">
      <c r="A73" s="911">
        <v>12</v>
      </c>
      <c r="B73" s="966" t="s">
        <v>1519</v>
      </c>
      <c r="C73" s="969" t="s">
        <v>1520</v>
      </c>
      <c r="D73" s="969" t="s">
        <v>1746</v>
      </c>
      <c r="E73" s="972" t="s">
        <v>1747</v>
      </c>
      <c r="F73" s="542" t="s">
        <v>3</v>
      </c>
      <c r="G73" s="532">
        <f>SUM(G74:G75)</f>
        <v>197157.21645000001</v>
      </c>
      <c r="H73" s="532">
        <f>SUM(H74:H75)</f>
        <v>703766.1</v>
      </c>
      <c r="I73" s="532">
        <f>SUM(I74:I75)</f>
        <v>620615.67833999998</v>
      </c>
      <c r="J73" s="532">
        <f>SUM(J74:J75)</f>
        <v>322320.92829000001</v>
      </c>
      <c r="K73" s="532">
        <f>SUM(K74:K75)</f>
        <v>67844.5</v>
      </c>
      <c r="L73" s="543">
        <f>J73/H73</f>
        <v>0.45799439371973161</v>
      </c>
      <c r="M73" s="975">
        <v>0.37</v>
      </c>
      <c r="N73" s="978" t="s">
        <v>1748</v>
      </c>
    </row>
    <row r="74" spans="1:14" x14ac:dyDescent="0.25">
      <c r="A74" s="912"/>
      <c r="B74" s="967"/>
      <c r="C74" s="970"/>
      <c r="D74" s="970"/>
      <c r="E74" s="973"/>
      <c r="F74" s="544" t="s">
        <v>4</v>
      </c>
      <c r="G74" s="545">
        <v>16680.616449999998</v>
      </c>
      <c r="H74" s="545">
        <v>333657.5</v>
      </c>
      <c r="I74" s="546">
        <v>250507.07834000001</v>
      </c>
      <c r="J74" s="546">
        <v>93473.105070000005</v>
      </c>
      <c r="K74" s="546">
        <v>67844.5</v>
      </c>
      <c r="L74" s="547">
        <f>J74/H74</f>
        <v>0.28014687237661373</v>
      </c>
      <c r="M74" s="976"/>
      <c r="N74" s="979"/>
    </row>
    <row r="75" spans="1:14" x14ac:dyDescent="0.25">
      <c r="A75" s="923"/>
      <c r="B75" s="968"/>
      <c r="C75" s="971"/>
      <c r="D75" s="971"/>
      <c r="E75" s="974"/>
      <c r="F75" s="544" t="s">
        <v>5</v>
      </c>
      <c r="G75" s="545">
        <v>180476.6</v>
      </c>
      <c r="H75" s="545">
        <v>370108.6</v>
      </c>
      <c r="I75" s="546">
        <v>370108.6</v>
      </c>
      <c r="J75" s="546">
        <v>228847.82321999999</v>
      </c>
      <c r="K75" s="548">
        <v>0</v>
      </c>
      <c r="L75" s="547">
        <f>J75/H75</f>
        <v>0.61832614324552304</v>
      </c>
      <c r="M75" s="977"/>
      <c r="N75" s="980"/>
    </row>
    <row r="76" spans="1:14" ht="21" x14ac:dyDescent="0.25">
      <c r="A76" s="993">
        <v>13</v>
      </c>
      <c r="B76" s="999" t="s">
        <v>1521</v>
      </c>
      <c r="C76" s="997" t="s">
        <v>1522</v>
      </c>
      <c r="D76" s="1002" t="s">
        <v>1523</v>
      </c>
      <c r="E76" s="1003">
        <v>1771548.1</v>
      </c>
      <c r="F76" s="542" t="s">
        <v>3</v>
      </c>
      <c r="G76" s="549">
        <f>SUM(G77:G80)</f>
        <v>51403.1</v>
      </c>
      <c r="H76" s="549">
        <f t="shared" ref="H76:K79" si="10">SUM(H77:H80)</f>
        <v>259876.5</v>
      </c>
      <c r="I76" s="549">
        <f t="shared" si="10"/>
        <v>259876.5</v>
      </c>
      <c r="J76" s="549">
        <f t="shared" si="10"/>
        <v>259876.5</v>
      </c>
      <c r="K76" s="549">
        <f t="shared" si="10"/>
        <v>0</v>
      </c>
      <c r="L76" s="550">
        <f>J76/H76</f>
        <v>1</v>
      </c>
      <c r="M76" s="987">
        <v>0.18</v>
      </c>
      <c r="N76" s="990" t="s">
        <v>1750</v>
      </c>
    </row>
    <row r="77" spans="1:14" x14ac:dyDescent="0.25">
      <c r="A77" s="994"/>
      <c r="B77" s="1000"/>
      <c r="C77" s="997"/>
      <c r="D77" s="1002"/>
      <c r="E77" s="1003"/>
      <c r="F77" s="544" t="s">
        <v>4</v>
      </c>
      <c r="G77" s="534">
        <v>0</v>
      </c>
      <c r="H77" s="535">
        <v>75364.2</v>
      </c>
      <c r="I77" s="536">
        <v>75364.2</v>
      </c>
      <c r="J77" s="536">
        <v>75364.2</v>
      </c>
      <c r="K77" s="534">
        <f t="shared" si="10"/>
        <v>0</v>
      </c>
      <c r="L77" s="551">
        <v>0</v>
      </c>
      <c r="M77" s="988"/>
      <c r="N77" s="991"/>
    </row>
    <row r="78" spans="1:14" x14ac:dyDescent="0.25">
      <c r="A78" s="994"/>
      <c r="B78" s="1000"/>
      <c r="C78" s="997"/>
      <c r="D78" s="1002"/>
      <c r="E78" s="1003"/>
      <c r="F78" s="544" t="s">
        <v>5</v>
      </c>
      <c r="G78" s="539">
        <v>51403.1</v>
      </c>
      <c r="H78" s="535">
        <v>184512.3</v>
      </c>
      <c r="I78" s="535">
        <v>184512.3</v>
      </c>
      <c r="J78" s="535">
        <v>184512.3</v>
      </c>
      <c r="K78" s="534">
        <f t="shared" si="10"/>
        <v>0</v>
      </c>
      <c r="L78" s="551">
        <v>0</v>
      </c>
      <c r="M78" s="988"/>
      <c r="N78" s="991"/>
    </row>
    <row r="79" spans="1:14" x14ac:dyDescent="0.25">
      <c r="A79" s="994"/>
      <c r="B79" s="1000"/>
      <c r="C79" s="997"/>
      <c r="D79" s="1002"/>
      <c r="E79" s="1003"/>
      <c r="F79" s="544" t="s">
        <v>6</v>
      </c>
      <c r="G79" s="534">
        <v>0</v>
      </c>
      <c r="H79" s="534">
        <v>0</v>
      </c>
      <c r="I79" s="534">
        <v>0</v>
      </c>
      <c r="J79" s="534">
        <v>0</v>
      </c>
      <c r="K79" s="534">
        <f t="shared" si="10"/>
        <v>0</v>
      </c>
      <c r="L79" s="551">
        <v>0</v>
      </c>
      <c r="M79" s="988"/>
      <c r="N79" s="991"/>
    </row>
    <row r="80" spans="1:14" x14ac:dyDescent="0.25">
      <c r="A80" s="995"/>
      <c r="B80" s="1001"/>
      <c r="C80" s="997"/>
      <c r="D80" s="1002"/>
      <c r="E80" s="1003"/>
      <c r="F80" s="544" t="s">
        <v>7</v>
      </c>
      <c r="G80" s="534">
        <v>0</v>
      </c>
      <c r="H80" s="534">
        <v>0</v>
      </c>
      <c r="I80" s="534">
        <v>0</v>
      </c>
      <c r="J80" s="534">
        <v>0</v>
      </c>
      <c r="K80" s="534">
        <v>0</v>
      </c>
      <c r="L80" s="551">
        <v>0</v>
      </c>
      <c r="M80" s="989"/>
      <c r="N80" s="992"/>
    </row>
    <row r="81" spans="1:14" ht="21" x14ac:dyDescent="0.25">
      <c r="A81" s="993">
        <v>14</v>
      </c>
      <c r="B81" s="996" t="s">
        <v>1524</v>
      </c>
      <c r="C81" s="997" t="s">
        <v>1525</v>
      </c>
      <c r="D81" s="997" t="s">
        <v>1526</v>
      </c>
      <c r="E81" s="998">
        <v>349770.9</v>
      </c>
      <c r="F81" s="542" t="s">
        <v>3</v>
      </c>
      <c r="G81" s="549">
        <f>SUM(G82:G85)</f>
        <v>135522.9</v>
      </c>
      <c r="H81" s="549">
        <f>SUM(H82:H85)</f>
        <v>214248</v>
      </c>
      <c r="I81" s="549">
        <f>SUM(I82:I85)</f>
        <v>214248.1</v>
      </c>
      <c r="J81" s="549">
        <f>SUM(J82:J85)</f>
        <v>140096.95397</v>
      </c>
      <c r="K81" s="549">
        <f>SUM(K82:K85)</f>
        <v>0</v>
      </c>
      <c r="L81" s="550">
        <f>J81/H81</f>
        <v>0.65390087174676081</v>
      </c>
      <c r="M81" s="987">
        <v>0.79</v>
      </c>
      <c r="N81" s="996" t="s">
        <v>1751</v>
      </c>
    </row>
    <row r="82" spans="1:14" x14ac:dyDescent="0.25">
      <c r="A82" s="994"/>
      <c r="B82" s="996"/>
      <c r="C82" s="997"/>
      <c r="D82" s="997"/>
      <c r="E82" s="998"/>
      <c r="F82" s="544" t="s">
        <v>4</v>
      </c>
      <c r="G82" s="539">
        <v>7725.3</v>
      </c>
      <c r="H82" s="539">
        <v>203535.6</v>
      </c>
      <c r="I82" s="539">
        <v>203535.6</v>
      </c>
      <c r="J82" s="539">
        <v>117002.59418</v>
      </c>
      <c r="K82" s="534">
        <v>0</v>
      </c>
      <c r="L82" s="551">
        <v>0</v>
      </c>
      <c r="M82" s="988"/>
      <c r="N82" s="996"/>
    </row>
    <row r="83" spans="1:14" x14ac:dyDescent="0.25">
      <c r="A83" s="994"/>
      <c r="B83" s="996"/>
      <c r="C83" s="997"/>
      <c r="D83" s="997"/>
      <c r="E83" s="998"/>
      <c r="F83" s="544" t="s">
        <v>5</v>
      </c>
      <c r="G83" s="539">
        <v>127391</v>
      </c>
      <c r="H83" s="539">
        <v>0</v>
      </c>
      <c r="I83" s="539">
        <v>0</v>
      </c>
      <c r="J83" s="539">
        <v>0</v>
      </c>
      <c r="K83" s="534">
        <v>0</v>
      </c>
      <c r="L83" s="551">
        <v>0</v>
      </c>
      <c r="M83" s="988"/>
      <c r="N83" s="996"/>
    </row>
    <row r="84" spans="1:14" x14ac:dyDescent="0.25">
      <c r="A84" s="994"/>
      <c r="B84" s="996"/>
      <c r="C84" s="997"/>
      <c r="D84" s="997"/>
      <c r="E84" s="998"/>
      <c r="F84" s="544" t="s">
        <v>6</v>
      </c>
      <c r="G84" s="539">
        <v>406.6</v>
      </c>
      <c r="H84" s="539">
        <v>10712.4</v>
      </c>
      <c r="I84" s="539">
        <v>10712.5</v>
      </c>
      <c r="J84" s="539">
        <v>23094.359789999999</v>
      </c>
      <c r="K84" s="534">
        <v>0</v>
      </c>
      <c r="L84" s="551">
        <v>0</v>
      </c>
      <c r="M84" s="988"/>
      <c r="N84" s="996"/>
    </row>
    <row r="85" spans="1:14" x14ac:dyDescent="0.25">
      <c r="A85" s="995"/>
      <c r="B85" s="996"/>
      <c r="C85" s="997"/>
      <c r="D85" s="997"/>
      <c r="E85" s="998"/>
      <c r="F85" s="544" t="s">
        <v>7</v>
      </c>
      <c r="G85" s="534">
        <v>0</v>
      </c>
      <c r="H85" s="534">
        <v>0</v>
      </c>
      <c r="I85" s="534">
        <v>0</v>
      </c>
      <c r="J85" s="534">
        <v>0</v>
      </c>
      <c r="K85" s="534">
        <v>0</v>
      </c>
      <c r="L85" s="551">
        <v>0</v>
      </c>
      <c r="M85" s="989"/>
      <c r="N85" s="996"/>
    </row>
    <row r="86" spans="1:14" ht="21" x14ac:dyDescent="0.25">
      <c r="A86" s="552"/>
      <c r="B86" s="981" t="s">
        <v>1754</v>
      </c>
      <c r="C86" s="984" t="s">
        <v>1755</v>
      </c>
      <c r="D86" s="981" t="s">
        <v>1756</v>
      </c>
      <c r="E86" s="981" t="s">
        <v>1757</v>
      </c>
      <c r="F86" s="542" t="s">
        <v>3</v>
      </c>
      <c r="G86" s="549">
        <f>SUM(G87:G90)</f>
        <v>0</v>
      </c>
      <c r="H86" s="549">
        <f>SUM(H87:H90)</f>
        <v>14179.4</v>
      </c>
      <c r="I86" s="549">
        <f>SUM(I87:I90)</f>
        <v>14179.368420000001</v>
      </c>
      <c r="J86" s="549">
        <f>SUM(J87:J90)</f>
        <v>14179.368420000001</v>
      </c>
      <c r="K86" s="549">
        <f>SUM(K87:K90)</f>
        <v>0</v>
      </c>
      <c r="L86" s="550">
        <f>J86/H86</f>
        <v>0.9999977728253665</v>
      </c>
      <c r="M86" s="987">
        <v>0</v>
      </c>
      <c r="N86" s="990" t="s">
        <v>1758</v>
      </c>
    </row>
    <row r="87" spans="1:14" x14ac:dyDescent="0.25">
      <c r="A87" s="553">
        <v>15</v>
      </c>
      <c r="B87" s="982"/>
      <c r="C87" s="985"/>
      <c r="D87" s="982"/>
      <c r="E87" s="982"/>
      <c r="F87" s="544" t="s">
        <v>4</v>
      </c>
      <c r="G87" s="534">
        <v>0</v>
      </c>
      <c r="H87" s="554">
        <v>3020.4</v>
      </c>
      <c r="I87" s="554">
        <v>3020.4</v>
      </c>
      <c r="J87" s="554">
        <f>I87</f>
        <v>3020.4</v>
      </c>
      <c r="K87" s="541">
        <v>0</v>
      </c>
      <c r="L87" s="551">
        <f>J87/H87</f>
        <v>1</v>
      </c>
      <c r="M87" s="988"/>
      <c r="N87" s="991"/>
    </row>
    <row r="88" spans="1:14" x14ac:dyDescent="0.25">
      <c r="A88" s="555"/>
      <c r="B88" s="982"/>
      <c r="C88" s="985"/>
      <c r="D88" s="982"/>
      <c r="E88" s="982"/>
      <c r="F88" s="544" t="s">
        <v>5</v>
      </c>
      <c r="G88" s="534">
        <v>0</v>
      </c>
      <c r="H88" s="554">
        <v>0</v>
      </c>
      <c r="I88" s="554">
        <v>0</v>
      </c>
      <c r="J88" s="554">
        <v>0</v>
      </c>
      <c r="K88" s="541">
        <v>0</v>
      </c>
      <c r="L88" s="551">
        <v>0</v>
      </c>
      <c r="M88" s="988"/>
      <c r="N88" s="991"/>
    </row>
    <row r="89" spans="1:14" x14ac:dyDescent="0.25">
      <c r="A89" s="553"/>
      <c r="B89" s="982"/>
      <c r="C89" s="985"/>
      <c r="D89" s="982"/>
      <c r="E89" s="982"/>
      <c r="F89" s="544" t="s">
        <v>6</v>
      </c>
      <c r="G89" s="534">
        <v>0</v>
      </c>
      <c r="H89" s="554">
        <v>159</v>
      </c>
      <c r="I89" s="554">
        <v>158.96842000000001</v>
      </c>
      <c r="J89" s="554">
        <f>I89</f>
        <v>158.96842000000001</v>
      </c>
      <c r="K89" s="541">
        <v>0</v>
      </c>
      <c r="L89" s="551">
        <v>0</v>
      </c>
      <c r="M89" s="988"/>
      <c r="N89" s="991"/>
    </row>
    <row r="90" spans="1:14" x14ac:dyDescent="0.25">
      <c r="A90" s="556"/>
      <c r="B90" s="983"/>
      <c r="C90" s="986"/>
      <c r="D90" s="983"/>
      <c r="E90" s="983"/>
      <c r="F90" s="544" t="s">
        <v>7</v>
      </c>
      <c r="G90" s="534">
        <v>0</v>
      </c>
      <c r="H90" s="554">
        <v>11000</v>
      </c>
      <c r="I90" s="554">
        <v>11000</v>
      </c>
      <c r="J90" s="554">
        <v>11000</v>
      </c>
      <c r="K90" s="534">
        <v>0</v>
      </c>
      <c r="L90" s="551">
        <v>0</v>
      </c>
      <c r="M90" s="989"/>
      <c r="N90" s="992"/>
    </row>
    <row r="91" spans="1:14" ht="21" x14ac:dyDescent="0.25">
      <c r="A91" s="552"/>
      <c r="B91" s="999" t="s">
        <v>1527</v>
      </c>
      <c r="C91" s="1004" t="s">
        <v>1528</v>
      </c>
      <c r="D91" s="1005" t="s">
        <v>1529</v>
      </c>
      <c r="E91" s="1008">
        <v>138492.4</v>
      </c>
      <c r="F91" s="542" t="s">
        <v>3</v>
      </c>
      <c r="G91" s="549">
        <f>SUM(G92:G95)</f>
        <v>20659.3</v>
      </c>
      <c r="H91" s="549">
        <f>SUM(H92:H95)</f>
        <v>59324.6</v>
      </c>
      <c r="I91" s="549">
        <f>SUM(I92:I95)</f>
        <v>59324.6</v>
      </c>
      <c r="J91" s="549">
        <f>SUM(J92:J95)</f>
        <v>59324.6</v>
      </c>
      <c r="K91" s="549">
        <f>SUM(K92:K95)</f>
        <v>0</v>
      </c>
      <c r="L91" s="550">
        <f>J91/H91</f>
        <v>1</v>
      </c>
      <c r="M91" s="987">
        <v>0.57999999999999996</v>
      </c>
      <c r="N91" s="990" t="s">
        <v>1752</v>
      </c>
    </row>
    <row r="92" spans="1:14" x14ac:dyDescent="0.25">
      <c r="A92" s="553"/>
      <c r="B92" s="1000"/>
      <c r="C92" s="988"/>
      <c r="D92" s="1006"/>
      <c r="E92" s="1009"/>
      <c r="F92" s="544" t="s">
        <v>4</v>
      </c>
      <c r="G92" s="554">
        <v>20452.7</v>
      </c>
      <c r="H92" s="554">
        <v>58731.4</v>
      </c>
      <c r="I92" s="554">
        <v>58731.4</v>
      </c>
      <c r="J92" s="554">
        <v>58731.4</v>
      </c>
      <c r="K92" s="534">
        <v>0</v>
      </c>
      <c r="L92" s="551">
        <f>J92/H92</f>
        <v>1</v>
      </c>
      <c r="M92" s="988"/>
      <c r="N92" s="991"/>
    </row>
    <row r="93" spans="1:14" x14ac:dyDescent="0.25">
      <c r="A93" s="553"/>
      <c r="B93" s="1000"/>
      <c r="C93" s="988"/>
      <c r="D93" s="1006"/>
      <c r="E93" s="1009"/>
      <c r="F93" s="544" t="s">
        <v>5</v>
      </c>
      <c r="G93" s="554">
        <v>0</v>
      </c>
      <c r="H93" s="554">
        <v>0</v>
      </c>
      <c r="I93" s="554">
        <v>0</v>
      </c>
      <c r="J93" s="554">
        <v>0</v>
      </c>
      <c r="K93" s="534">
        <v>0</v>
      </c>
      <c r="L93" s="551">
        <v>0</v>
      </c>
      <c r="M93" s="988"/>
      <c r="N93" s="991"/>
    </row>
    <row r="94" spans="1:14" x14ac:dyDescent="0.25">
      <c r="A94" s="553">
        <v>16</v>
      </c>
      <c r="B94" s="1000"/>
      <c r="C94" s="988"/>
      <c r="D94" s="1006"/>
      <c r="E94" s="1009"/>
      <c r="F94" s="544" t="s">
        <v>6</v>
      </c>
      <c r="G94" s="554">
        <v>206.6</v>
      </c>
      <c r="H94" s="554">
        <v>593.20000000000005</v>
      </c>
      <c r="I94" s="554">
        <v>593.20000000000005</v>
      </c>
      <c r="J94" s="554">
        <v>593.20000000000005</v>
      </c>
      <c r="K94" s="534">
        <v>0</v>
      </c>
      <c r="L94" s="551">
        <v>0</v>
      </c>
      <c r="M94" s="988"/>
      <c r="N94" s="991"/>
    </row>
    <row r="95" spans="1:14" x14ac:dyDescent="0.25">
      <c r="A95" s="556"/>
      <c r="B95" s="1001"/>
      <c r="C95" s="989"/>
      <c r="D95" s="1007"/>
      <c r="E95" s="1010"/>
      <c r="F95" s="544" t="s">
        <v>7</v>
      </c>
      <c r="G95" s="534">
        <v>0</v>
      </c>
      <c r="H95" s="534">
        <v>0</v>
      </c>
      <c r="I95" s="534">
        <v>0</v>
      </c>
      <c r="J95" s="534">
        <v>0</v>
      </c>
      <c r="K95" s="534">
        <v>0</v>
      </c>
      <c r="L95" s="551">
        <v>0</v>
      </c>
      <c r="M95" s="989"/>
      <c r="N95" s="992"/>
    </row>
    <row r="96" spans="1:14" ht="21" x14ac:dyDescent="0.25">
      <c r="A96" s="552"/>
      <c r="B96" s="999" t="s">
        <v>1530</v>
      </c>
      <c r="C96" s="1004" t="s">
        <v>1531</v>
      </c>
      <c r="D96" s="1005" t="s">
        <v>1529</v>
      </c>
      <c r="E96" s="1008">
        <v>49393.2</v>
      </c>
      <c r="F96" s="542" t="s">
        <v>3</v>
      </c>
      <c r="G96" s="549">
        <f>SUM(G97:G100)</f>
        <v>7623.5</v>
      </c>
      <c r="H96" s="549">
        <f>SUM(H97:H99)</f>
        <v>21030.399999999998</v>
      </c>
      <c r="I96" s="549">
        <f>SUM(I97:I99)</f>
        <v>21030.399999999998</v>
      </c>
      <c r="J96" s="549">
        <f>SUM(J97:J100)</f>
        <v>21030.399999999998</v>
      </c>
      <c r="K96" s="549">
        <f>SUM(K97:K100)</f>
        <v>0</v>
      </c>
      <c r="L96" s="550">
        <f>J96/H96</f>
        <v>1</v>
      </c>
      <c r="M96" s="987">
        <v>0.57999999999999996</v>
      </c>
      <c r="N96" s="1011" t="s">
        <v>1753</v>
      </c>
    </row>
    <row r="97" spans="1:14" x14ac:dyDescent="0.25">
      <c r="A97" s="553"/>
      <c r="B97" s="1000"/>
      <c r="C97" s="988"/>
      <c r="D97" s="1006"/>
      <c r="E97" s="1009"/>
      <c r="F97" s="544" t="s">
        <v>4</v>
      </c>
      <c r="G97" s="554">
        <v>7547.3</v>
      </c>
      <c r="H97" s="554">
        <v>20820.099999999999</v>
      </c>
      <c r="I97" s="554">
        <v>20820.099999999999</v>
      </c>
      <c r="J97" s="554">
        <v>20820.099999999999</v>
      </c>
      <c r="K97" s="534">
        <v>0</v>
      </c>
      <c r="L97" s="551">
        <f>J97/H97</f>
        <v>1</v>
      </c>
      <c r="M97" s="988"/>
      <c r="N97" s="1012"/>
    </row>
    <row r="98" spans="1:14" x14ac:dyDescent="0.25">
      <c r="A98" s="553">
        <v>17</v>
      </c>
      <c r="B98" s="1000"/>
      <c r="C98" s="988"/>
      <c r="D98" s="1006"/>
      <c r="E98" s="1009"/>
      <c r="F98" s="544" t="s">
        <v>5</v>
      </c>
      <c r="G98" s="554">
        <v>0</v>
      </c>
      <c r="H98" s="554">
        <v>0</v>
      </c>
      <c r="I98" s="554">
        <v>0</v>
      </c>
      <c r="J98" s="554">
        <v>0</v>
      </c>
      <c r="K98" s="534">
        <v>0</v>
      </c>
      <c r="L98" s="551">
        <v>0</v>
      </c>
      <c r="M98" s="988"/>
      <c r="N98" s="1012"/>
    </row>
    <row r="99" spans="1:14" x14ac:dyDescent="0.25">
      <c r="A99" s="553"/>
      <c r="B99" s="1000"/>
      <c r="C99" s="988"/>
      <c r="D99" s="1006"/>
      <c r="E99" s="1009"/>
      <c r="F99" s="544" t="s">
        <v>6</v>
      </c>
      <c r="G99" s="554">
        <v>76.2</v>
      </c>
      <c r="H99" s="554">
        <v>210.3</v>
      </c>
      <c r="I99" s="554">
        <v>210.3</v>
      </c>
      <c r="J99" s="554">
        <v>210.3</v>
      </c>
      <c r="K99" s="534">
        <v>0</v>
      </c>
      <c r="L99" s="551">
        <v>0</v>
      </c>
      <c r="M99" s="988"/>
      <c r="N99" s="1012"/>
    </row>
    <row r="100" spans="1:14" x14ac:dyDescent="0.25">
      <c r="A100" s="556"/>
      <c r="B100" s="1001"/>
      <c r="C100" s="989"/>
      <c r="D100" s="1007"/>
      <c r="E100" s="1010"/>
      <c r="F100" s="544" t="s">
        <v>7</v>
      </c>
      <c r="G100" s="534">
        <v>0</v>
      </c>
      <c r="H100" s="534">
        <v>0</v>
      </c>
      <c r="I100" s="534">
        <v>0</v>
      </c>
      <c r="J100" s="534">
        <v>0</v>
      </c>
      <c r="K100" s="534">
        <v>0</v>
      </c>
      <c r="L100" s="551">
        <v>0</v>
      </c>
      <c r="M100" s="989"/>
      <c r="N100" s="1013"/>
    </row>
    <row r="101" spans="1:14" ht="21" x14ac:dyDescent="0.25">
      <c r="A101" s="864" t="s">
        <v>986</v>
      </c>
      <c r="B101" s="865"/>
      <c r="C101" s="865"/>
      <c r="D101" s="865"/>
      <c r="E101" s="866"/>
      <c r="F101" s="482" t="s">
        <v>3</v>
      </c>
      <c r="G101" s="481">
        <f>SUM(G102:G105)</f>
        <v>1632887.7753000001</v>
      </c>
      <c r="H101" s="481">
        <f>SUM(H102:H104)</f>
        <v>790492.18987</v>
      </c>
      <c r="I101" s="481">
        <f>SUM(I102:I104)</f>
        <v>567401.6115</v>
      </c>
      <c r="J101" s="481">
        <f>SUM(J102:J104)</f>
        <v>238985.25574999998</v>
      </c>
      <c r="K101" s="481">
        <f>SUM(K102:K104)</f>
        <v>73037.437160000001</v>
      </c>
      <c r="L101" s="409">
        <f>J101/H101</f>
        <v>0.30232462611591671</v>
      </c>
      <c r="M101" s="876"/>
      <c r="N101" s="1018"/>
    </row>
    <row r="102" spans="1:14" x14ac:dyDescent="0.25">
      <c r="A102" s="867"/>
      <c r="B102" s="1014"/>
      <c r="C102" s="1014"/>
      <c r="D102" s="1014"/>
      <c r="E102" s="869"/>
      <c r="F102" s="589" t="s">
        <v>179</v>
      </c>
      <c r="G102" s="590">
        <f>G108+G112+G117+G127+G122</f>
        <v>982768.82544000004</v>
      </c>
      <c r="H102" s="590">
        <f>H108+H112+H117+H122+H127</f>
        <v>497715.39919000003</v>
      </c>
      <c r="I102" s="590">
        <f>I112+I117+I122+I127</f>
        <v>334594.13926000003</v>
      </c>
      <c r="J102" s="590">
        <f>J108+J112+J122+J127+J117</f>
        <v>63746.027249999999</v>
      </c>
      <c r="K102" s="590">
        <f>K108+K117</f>
        <v>72869.237160000004</v>
      </c>
      <c r="L102" s="591">
        <f>J102/H102</f>
        <v>0.12807726534831468</v>
      </c>
      <c r="M102" s="877"/>
      <c r="N102" s="1019"/>
    </row>
    <row r="103" spans="1:14" x14ac:dyDescent="0.25">
      <c r="A103" s="867"/>
      <c r="B103" s="1014"/>
      <c r="C103" s="1014"/>
      <c r="D103" s="1014"/>
      <c r="E103" s="869"/>
      <c r="F103" s="589" t="s">
        <v>5</v>
      </c>
      <c r="G103" s="590">
        <f>G109+G113+G118+G123+G128</f>
        <v>302006.20490999997</v>
      </c>
      <c r="H103" s="590">
        <f>H109+H113+H118+H123+H128</f>
        <v>111264.89068</v>
      </c>
      <c r="I103" s="590">
        <f>I109+I113+I118+I123+I128</f>
        <v>111096.69</v>
      </c>
      <c r="J103" s="590">
        <f>J109+J113+J118+J123+J128</f>
        <v>109656.99189</v>
      </c>
      <c r="K103" s="590">
        <f>K128</f>
        <v>168.2</v>
      </c>
      <c r="L103" s="591">
        <v>0</v>
      </c>
      <c r="M103" s="877"/>
      <c r="N103" s="1019"/>
    </row>
    <row r="104" spans="1:14" x14ac:dyDescent="0.25">
      <c r="A104" s="867"/>
      <c r="B104" s="1014"/>
      <c r="C104" s="1014"/>
      <c r="D104" s="1014"/>
      <c r="E104" s="869"/>
      <c r="F104" s="589" t="s">
        <v>6</v>
      </c>
      <c r="G104" s="590">
        <f>G114+G129+G124</f>
        <v>330112.74495000002</v>
      </c>
      <c r="H104" s="590">
        <f>H114+H119+H124+H129</f>
        <v>181511.90000000002</v>
      </c>
      <c r="I104" s="590">
        <f>I114+I119+I124+I129</f>
        <v>121710.78224</v>
      </c>
      <c r="J104" s="590">
        <f>J114+J119+J124+J129</f>
        <v>65582.236609999993</v>
      </c>
      <c r="K104" s="590">
        <v>0</v>
      </c>
      <c r="L104" s="591">
        <f>J104/H104</f>
        <v>0.36131094771196809</v>
      </c>
      <c r="M104" s="877"/>
      <c r="N104" s="1019"/>
    </row>
    <row r="105" spans="1:14" x14ac:dyDescent="0.25">
      <c r="A105" s="1015"/>
      <c r="B105" s="1016"/>
      <c r="C105" s="1016"/>
      <c r="D105" s="1016"/>
      <c r="E105" s="1017"/>
      <c r="F105" s="589" t="s">
        <v>7</v>
      </c>
      <c r="G105" s="590">
        <f>G115+G120+G125+G130</f>
        <v>18000</v>
      </c>
      <c r="H105" s="590">
        <f>SUM(H115+H120+H125+H130)</f>
        <v>0</v>
      </c>
      <c r="I105" s="590">
        <f>SUM(I115+I120+I125+I130)</f>
        <v>0</v>
      </c>
      <c r="J105" s="590">
        <v>0</v>
      </c>
      <c r="K105" s="590">
        <v>0</v>
      </c>
      <c r="L105" s="591">
        <v>0</v>
      </c>
      <c r="M105" s="943"/>
      <c r="N105" s="1020"/>
    </row>
    <row r="106" spans="1:14" x14ac:dyDescent="0.25">
      <c r="A106" s="1021" t="s">
        <v>1183</v>
      </c>
      <c r="B106" s="1022"/>
      <c r="C106" s="1022"/>
      <c r="D106" s="1022"/>
      <c r="E106" s="1022"/>
      <c r="F106" s="1022"/>
      <c r="G106" s="1022"/>
      <c r="H106" s="1022"/>
      <c r="I106" s="1022"/>
      <c r="J106" s="1022"/>
      <c r="K106" s="1022"/>
      <c r="L106" s="1022"/>
      <c r="M106" s="1022"/>
      <c r="N106" s="1023"/>
    </row>
    <row r="107" spans="1:14" ht="21" x14ac:dyDescent="0.25">
      <c r="A107" s="911">
        <v>18</v>
      </c>
      <c r="B107" s="913" t="s">
        <v>1184</v>
      </c>
      <c r="C107" s="846" t="s">
        <v>1185</v>
      </c>
      <c r="D107" s="848" t="s">
        <v>1840</v>
      </c>
      <c r="E107" s="849">
        <v>669732.6</v>
      </c>
      <c r="F107" s="511" t="s">
        <v>3</v>
      </c>
      <c r="G107" s="557">
        <f>SUM(G108:G110)</f>
        <v>573566.56999999995</v>
      </c>
      <c r="H107" s="502">
        <f>H108</f>
        <v>96165.992689999999</v>
      </c>
      <c r="I107" s="502">
        <v>0</v>
      </c>
      <c r="J107" s="502">
        <f>J108</f>
        <v>0</v>
      </c>
      <c r="K107" s="502">
        <f>SUM(K108:K110)</f>
        <v>70000</v>
      </c>
      <c r="L107" s="514">
        <f>J107/H107</f>
        <v>0</v>
      </c>
      <c r="M107" s="927">
        <v>0.66100000000000003</v>
      </c>
      <c r="N107" s="913" t="s">
        <v>1841</v>
      </c>
    </row>
    <row r="108" spans="1:14" x14ac:dyDescent="0.25">
      <c r="A108" s="912"/>
      <c r="B108" s="914"/>
      <c r="C108" s="846"/>
      <c r="D108" s="848"/>
      <c r="E108" s="849"/>
      <c r="F108" s="490" t="s">
        <v>4</v>
      </c>
      <c r="G108" s="558">
        <f>413819.87+70000</f>
        <v>483819.87</v>
      </c>
      <c r="H108" s="502">
        <v>96165.992689999999</v>
      </c>
      <c r="I108" s="559">
        <v>0</v>
      </c>
      <c r="J108" s="502">
        <v>0</v>
      </c>
      <c r="K108" s="502">
        <v>70000</v>
      </c>
      <c r="L108" s="494">
        <f>J108/H108</f>
        <v>0</v>
      </c>
      <c r="M108" s="928"/>
      <c r="N108" s="914"/>
    </row>
    <row r="109" spans="1:14" x14ac:dyDescent="0.25">
      <c r="A109" s="923"/>
      <c r="B109" s="930"/>
      <c r="C109" s="846"/>
      <c r="D109" s="848"/>
      <c r="E109" s="849"/>
      <c r="F109" s="490" t="s">
        <v>5</v>
      </c>
      <c r="G109" s="558">
        <v>89746.7</v>
      </c>
      <c r="H109" s="491">
        <v>0</v>
      </c>
      <c r="I109" s="502">
        <v>0</v>
      </c>
      <c r="J109" s="502">
        <v>0</v>
      </c>
      <c r="K109" s="491">
        <v>0</v>
      </c>
      <c r="L109" s="494">
        <v>0</v>
      </c>
      <c r="M109" s="929"/>
      <c r="N109" s="930"/>
    </row>
    <row r="110" spans="1:14" x14ac:dyDescent="0.25">
      <c r="A110" s="1021" t="s">
        <v>1186</v>
      </c>
      <c r="B110" s="1024"/>
      <c r="C110" s="1024"/>
      <c r="D110" s="1024"/>
      <c r="E110" s="1024"/>
      <c r="F110" s="1024"/>
      <c r="G110" s="1024"/>
      <c r="H110" s="1024"/>
      <c r="I110" s="1024"/>
      <c r="J110" s="1024"/>
      <c r="K110" s="1024"/>
      <c r="L110" s="1024"/>
      <c r="M110" s="1024"/>
      <c r="N110" s="1025"/>
    </row>
    <row r="111" spans="1:14" x14ac:dyDescent="0.25">
      <c r="A111" s="880">
        <v>19</v>
      </c>
      <c r="B111" s="1026" t="s">
        <v>1047</v>
      </c>
      <c r="C111" s="905" t="s">
        <v>1048</v>
      </c>
      <c r="D111" s="880" t="s">
        <v>1842</v>
      </c>
      <c r="E111" s="1027">
        <v>1245886</v>
      </c>
      <c r="F111" s="526" t="s">
        <v>3</v>
      </c>
      <c r="G111" s="558">
        <f t="shared" ref="G111:K111" si="11">SUM(G112:G115)</f>
        <v>675051.36331000004</v>
      </c>
      <c r="H111" s="558">
        <f t="shared" si="11"/>
        <v>346977.7</v>
      </c>
      <c r="I111" s="558">
        <f t="shared" si="11"/>
        <v>346977.7</v>
      </c>
      <c r="J111" s="558">
        <f t="shared" si="11"/>
        <v>82804.921600000001</v>
      </c>
      <c r="K111" s="558">
        <f t="shared" si="11"/>
        <v>0</v>
      </c>
      <c r="L111" s="560">
        <f t="shared" ref="L111:L130" si="12">IFERROR(J111/H111,0)</f>
        <v>0.23864623461392476</v>
      </c>
      <c r="M111" s="1028">
        <v>0.25</v>
      </c>
      <c r="N111" s="1030" t="s">
        <v>1843</v>
      </c>
    </row>
    <row r="112" spans="1:14" x14ac:dyDescent="0.25">
      <c r="A112" s="880"/>
      <c r="B112" s="1026"/>
      <c r="C112" s="905"/>
      <c r="D112" s="880"/>
      <c r="E112" s="1027"/>
      <c r="F112" s="526" t="s">
        <v>4</v>
      </c>
      <c r="G112" s="558">
        <f>(234999999.87+161957883.49)/1000</f>
        <v>396957.88336000004</v>
      </c>
      <c r="H112" s="558">
        <v>272551.90000000002</v>
      </c>
      <c r="I112" s="558">
        <v>272551.90000000002</v>
      </c>
      <c r="J112" s="558">
        <v>33434.093439999997</v>
      </c>
      <c r="K112" s="558">
        <v>0</v>
      </c>
      <c r="L112" s="560">
        <f t="shared" si="12"/>
        <v>0.12267055720396737</v>
      </c>
      <c r="M112" s="1029"/>
      <c r="N112" s="1030"/>
    </row>
    <row r="113" spans="1:14" x14ac:dyDescent="0.25">
      <c r="A113" s="880"/>
      <c r="B113" s="1026"/>
      <c r="C113" s="905"/>
      <c r="D113" s="880"/>
      <c r="E113" s="1027"/>
      <c r="F113" s="526" t="s">
        <v>5</v>
      </c>
      <c r="G113" s="558">
        <v>0</v>
      </c>
      <c r="H113" s="558">
        <v>0</v>
      </c>
      <c r="I113" s="558">
        <v>0</v>
      </c>
      <c r="J113" s="558">
        <v>0</v>
      </c>
      <c r="K113" s="558">
        <v>0</v>
      </c>
      <c r="L113" s="560">
        <f t="shared" si="12"/>
        <v>0</v>
      </c>
      <c r="M113" s="1029"/>
      <c r="N113" s="1030"/>
    </row>
    <row r="114" spans="1:14" x14ac:dyDescent="0.25">
      <c r="A114" s="880"/>
      <c r="B114" s="1026"/>
      <c r="C114" s="905"/>
      <c r="D114" s="880"/>
      <c r="E114" s="1027"/>
      <c r="F114" s="526" t="s">
        <v>6</v>
      </c>
      <c r="G114" s="558">
        <v>260093.47995000001</v>
      </c>
      <c r="H114" s="558">
        <v>74425.8</v>
      </c>
      <c r="I114" s="558">
        <v>74425.8</v>
      </c>
      <c r="J114" s="558">
        <v>49370.828159999997</v>
      </c>
      <c r="K114" s="558">
        <v>0</v>
      </c>
      <c r="L114" s="560">
        <f t="shared" si="12"/>
        <v>0.66335636513144625</v>
      </c>
      <c r="M114" s="1029"/>
      <c r="N114" s="1030"/>
    </row>
    <row r="115" spans="1:14" x14ac:dyDescent="0.25">
      <c r="A115" s="880"/>
      <c r="B115" s="1026"/>
      <c r="C115" s="905"/>
      <c r="D115" s="880"/>
      <c r="E115" s="1027"/>
      <c r="F115" s="526" t="s">
        <v>7</v>
      </c>
      <c r="G115" s="558">
        <v>18000</v>
      </c>
      <c r="H115" s="558">
        <v>0</v>
      </c>
      <c r="I115" s="558">
        <v>0</v>
      </c>
      <c r="J115" s="558">
        <v>0</v>
      </c>
      <c r="K115" s="558">
        <v>0</v>
      </c>
      <c r="L115" s="560">
        <f t="shared" si="12"/>
        <v>0</v>
      </c>
      <c r="M115" s="1029"/>
      <c r="N115" s="1030"/>
    </row>
    <row r="116" spans="1:14" x14ac:dyDescent="0.25">
      <c r="A116" s="880">
        <v>20</v>
      </c>
      <c r="B116" s="1032" t="s">
        <v>1532</v>
      </c>
      <c r="C116" s="908" t="s">
        <v>1049</v>
      </c>
      <c r="D116" s="881" t="s">
        <v>1996</v>
      </c>
      <c r="E116" s="1035">
        <v>1325217.1000000001</v>
      </c>
      <c r="F116" s="526" t="s">
        <v>3</v>
      </c>
      <c r="G116" s="558">
        <f t="shared" ref="G116:K116" si="13">SUM(G117:G120)</f>
        <v>21565.107080000002</v>
      </c>
      <c r="H116" s="558">
        <f t="shared" si="13"/>
        <v>8456.7000000000007</v>
      </c>
      <c r="I116" s="558">
        <f t="shared" si="13"/>
        <v>1612.88418</v>
      </c>
      <c r="J116" s="558">
        <f t="shared" si="13"/>
        <v>1612.9</v>
      </c>
      <c r="K116" s="558">
        <f t="shared" si="13"/>
        <v>2869.2371600000001</v>
      </c>
      <c r="L116" s="560">
        <f t="shared" si="12"/>
        <v>0.19072451429044426</v>
      </c>
      <c r="M116" s="1028">
        <v>6.0000000000000001E-3</v>
      </c>
      <c r="N116" s="1031" t="s">
        <v>1997</v>
      </c>
    </row>
    <row r="117" spans="1:14" x14ac:dyDescent="0.25">
      <c r="A117" s="880"/>
      <c r="B117" s="1033"/>
      <c r="C117" s="909"/>
      <c r="D117" s="906"/>
      <c r="E117" s="1036"/>
      <c r="F117" s="526" t="s">
        <v>4</v>
      </c>
      <c r="G117" s="558">
        <v>21565.107080000002</v>
      </c>
      <c r="H117" s="558">
        <v>8456.7000000000007</v>
      </c>
      <c r="I117" s="558">
        <v>1612.88418</v>
      </c>
      <c r="J117" s="558">
        <v>1612.9</v>
      </c>
      <c r="K117" s="558">
        <v>2869.2371600000001</v>
      </c>
      <c r="L117" s="560">
        <f t="shared" si="12"/>
        <v>0.19072451429044426</v>
      </c>
      <c r="M117" s="1029"/>
      <c r="N117" s="1031"/>
    </row>
    <row r="118" spans="1:14" x14ac:dyDescent="0.25">
      <c r="A118" s="880"/>
      <c r="B118" s="1033"/>
      <c r="C118" s="909"/>
      <c r="D118" s="906"/>
      <c r="E118" s="1036"/>
      <c r="F118" s="526" t="s">
        <v>5</v>
      </c>
      <c r="G118" s="558">
        <v>0</v>
      </c>
      <c r="H118" s="558">
        <v>0</v>
      </c>
      <c r="I118" s="558">
        <v>0</v>
      </c>
      <c r="J118" s="558">
        <v>0</v>
      </c>
      <c r="K118" s="558">
        <v>0</v>
      </c>
      <c r="L118" s="560">
        <f t="shared" si="12"/>
        <v>0</v>
      </c>
      <c r="M118" s="1029"/>
      <c r="N118" s="1031"/>
    </row>
    <row r="119" spans="1:14" x14ac:dyDescent="0.25">
      <c r="A119" s="880"/>
      <c r="B119" s="1033"/>
      <c r="C119" s="909"/>
      <c r="D119" s="906"/>
      <c r="E119" s="1036"/>
      <c r="F119" s="526" t="s">
        <v>6</v>
      </c>
      <c r="G119" s="558">
        <v>0</v>
      </c>
      <c r="H119" s="558">
        <v>0</v>
      </c>
      <c r="I119" s="558">
        <v>0</v>
      </c>
      <c r="J119" s="558">
        <v>0</v>
      </c>
      <c r="K119" s="558">
        <v>0</v>
      </c>
      <c r="L119" s="560">
        <f t="shared" si="12"/>
        <v>0</v>
      </c>
      <c r="M119" s="1029"/>
      <c r="N119" s="1031"/>
    </row>
    <row r="120" spans="1:14" x14ac:dyDescent="0.25">
      <c r="A120" s="880"/>
      <c r="B120" s="1034"/>
      <c r="C120" s="910"/>
      <c r="D120" s="907"/>
      <c r="E120" s="1037"/>
      <c r="F120" s="526" t="s">
        <v>7</v>
      </c>
      <c r="G120" s="558">
        <v>0</v>
      </c>
      <c r="H120" s="558">
        <v>0</v>
      </c>
      <c r="I120" s="558">
        <v>0</v>
      </c>
      <c r="J120" s="558">
        <v>0</v>
      </c>
      <c r="K120" s="558">
        <v>0</v>
      </c>
      <c r="L120" s="560">
        <f t="shared" si="12"/>
        <v>0</v>
      </c>
      <c r="M120" s="1029"/>
      <c r="N120" s="1031"/>
    </row>
    <row r="121" spans="1:14" x14ac:dyDescent="0.25">
      <c r="A121" s="880">
        <v>21</v>
      </c>
      <c r="B121" s="1026" t="str">
        <f>'[1]Отчет ГП Культура_Мероприятия'!B601</f>
        <v>Строительство здания центра культурного развития в г. Мурманске</v>
      </c>
      <c r="C121" s="905" t="s">
        <v>1533</v>
      </c>
      <c r="D121" s="880" t="s">
        <v>1998</v>
      </c>
      <c r="E121" s="1027">
        <v>462764.3</v>
      </c>
      <c r="F121" s="526" t="s">
        <v>3</v>
      </c>
      <c r="G121" s="558">
        <f t="shared" ref="G121:K121" si="14">SUM(G122:G125)</f>
        <v>169212.13</v>
      </c>
      <c r="H121" s="558">
        <f t="shared" si="14"/>
        <v>293552.2</v>
      </c>
      <c r="I121" s="558">
        <f t="shared" si="14"/>
        <v>173949.96448</v>
      </c>
      <c r="J121" s="558">
        <f t="shared" si="14"/>
        <v>111802.81690000001</v>
      </c>
      <c r="K121" s="558">
        <f t="shared" si="14"/>
        <v>0</v>
      </c>
      <c r="L121" s="560">
        <f t="shared" si="12"/>
        <v>0.38086179187210994</v>
      </c>
      <c r="M121" s="1028">
        <v>0.60699999999999998</v>
      </c>
      <c r="N121" s="920" t="s">
        <v>1999</v>
      </c>
    </row>
    <row r="122" spans="1:14" x14ac:dyDescent="0.25">
      <c r="A122" s="880"/>
      <c r="B122" s="1026"/>
      <c r="C122" s="905"/>
      <c r="D122" s="880"/>
      <c r="E122" s="1027"/>
      <c r="F122" s="526" t="s">
        <v>4</v>
      </c>
      <c r="G122" s="558">
        <v>69441.065000000002</v>
      </c>
      <c r="H122" s="558">
        <v>107086.1</v>
      </c>
      <c r="I122" s="558">
        <v>47284.982239999998</v>
      </c>
      <c r="J122" s="558">
        <v>16211.408450000001</v>
      </c>
      <c r="K122" s="558">
        <v>0</v>
      </c>
      <c r="L122" s="560">
        <f t="shared" si="12"/>
        <v>0.15138667343380699</v>
      </c>
      <c r="M122" s="1029"/>
      <c r="N122" s="920"/>
    </row>
    <row r="123" spans="1:14" x14ac:dyDescent="0.25">
      <c r="A123" s="880"/>
      <c r="B123" s="1026"/>
      <c r="C123" s="905"/>
      <c r="D123" s="880"/>
      <c r="E123" s="1027"/>
      <c r="F123" s="526" t="s">
        <v>5</v>
      </c>
      <c r="G123" s="558">
        <v>30330</v>
      </c>
      <c r="H123" s="558">
        <v>79380</v>
      </c>
      <c r="I123" s="558">
        <f>H123</f>
        <v>79380</v>
      </c>
      <c r="J123" s="558">
        <f>H123</f>
        <v>79380</v>
      </c>
      <c r="K123" s="558">
        <v>0</v>
      </c>
      <c r="L123" s="560">
        <f t="shared" si="12"/>
        <v>1</v>
      </c>
      <c r="M123" s="1029"/>
      <c r="N123" s="920"/>
    </row>
    <row r="124" spans="1:14" x14ac:dyDescent="0.25">
      <c r="A124" s="880"/>
      <c r="B124" s="1026"/>
      <c r="C124" s="905"/>
      <c r="D124" s="880"/>
      <c r="E124" s="1027"/>
      <c r="F124" s="526" t="s">
        <v>6</v>
      </c>
      <c r="G124" s="558">
        <v>69441.065000000002</v>
      </c>
      <c r="H124" s="558">
        <v>107086.1</v>
      </c>
      <c r="I124" s="558">
        <v>47284.982239999998</v>
      </c>
      <c r="J124" s="558">
        <v>16211.408450000001</v>
      </c>
      <c r="K124" s="558">
        <v>0</v>
      </c>
      <c r="L124" s="560">
        <f t="shared" si="12"/>
        <v>0.15138667343380699</v>
      </c>
      <c r="M124" s="1029"/>
      <c r="N124" s="920"/>
    </row>
    <row r="125" spans="1:14" x14ac:dyDescent="0.25">
      <c r="A125" s="880"/>
      <c r="B125" s="1026"/>
      <c r="C125" s="905"/>
      <c r="D125" s="880"/>
      <c r="E125" s="1027"/>
      <c r="F125" s="526" t="s">
        <v>7</v>
      </c>
      <c r="G125" s="558">
        <v>0</v>
      </c>
      <c r="H125" s="558">
        <f>'[1]Отчет ГП Культура_Мероприятия'!D696</f>
        <v>0</v>
      </c>
      <c r="I125" s="558">
        <f>'[1]Отчет ГП Культура_Мероприятия'!E696</f>
        <v>0</v>
      </c>
      <c r="J125" s="558">
        <f>'[1]Отчет ГП Культура_Мероприятия'!F696</f>
        <v>0</v>
      </c>
      <c r="K125" s="558">
        <v>0</v>
      </c>
      <c r="L125" s="560">
        <f t="shared" si="12"/>
        <v>0</v>
      </c>
      <c r="M125" s="1029"/>
      <c r="N125" s="920"/>
    </row>
    <row r="126" spans="1:14" x14ac:dyDescent="0.25">
      <c r="A126" s="880">
        <v>22</v>
      </c>
      <c r="B126" s="1039" t="str">
        <f>'[1]Отчет ГП Культура_Мероприятия'!B581</f>
        <v>Строительство Дома культуры в сельском поселении Алакуртти</v>
      </c>
      <c r="C126" s="908" t="s">
        <v>1534</v>
      </c>
      <c r="D126" s="881" t="s">
        <v>2000</v>
      </c>
      <c r="E126" s="1035">
        <v>498708.7</v>
      </c>
      <c r="F126" s="526" t="s">
        <v>3</v>
      </c>
      <c r="G126" s="558">
        <f t="shared" ref="G126:K126" si="15">SUM(G127:G130)</f>
        <v>193492.60490999999</v>
      </c>
      <c r="H126" s="558">
        <f t="shared" si="15"/>
        <v>45339.597179999997</v>
      </c>
      <c r="I126" s="558">
        <f t="shared" si="15"/>
        <v>44861.062839999999</v>
      </c>
      <c r="J126" s="558">
        <f t="shared" si="15"/>
        <v>42764.617250000003</v>
      </c>
      <c r="K126" s="558">
        <f t="shared" si="15"/>
        <v>168.2</v>
      </c>
      <c r="L126" s="560">
        <f t="shared" si="12"/>
        <v>0.94320681942150431</v>
      </c>
      <c r="M126" s="1028">
        <v>0.123</v>
      </c>
      <c r="N126" s="1031" t="s">
        <v>2001</v>
      </c>
    </row>
    <row r="127" spans="1:14" x14ac:dyDescent="0.25">
      <c r="A127" s="880"/>
      <c r="B127" s="1040"/>
      <c r="C127" s="909"/>
      <c r="D127" s="906"/>
      <c r="E127" s="1036"/>
      <c r="F127" s="526" t="s">
        <v>4</v>
      </c>
      <c r="G127" s="558">
        <v>10984.9</v>
      </c>
      <c r="H127" s="558">
        <v>13454.7065</v>
      </c>
      <c r="I127" s="558">
        <v>13144.37284</v>
      </c>
      <c r="J127" s="558">
        <v>12487.62536</v>
      </c>
      <c r="K127" s="558">
        <v>0</v>
      </c>
      <c r="L127" s="560">
        <f t="shared" si="12"/>
        <v>0.92812320803876325</v>
      </c>
      <c r="M127" s="1029"/>
      <c r="N127" s="1031"/>
    </row>
    <row r="128" spans="1:14" x14ac:dyDescent="0.25">
      <c r="A128" s="880"/>
      <c r="B128" s="1040"/>
      <c r="C128" s="909"/>
      <c r="D128" s="906"/>
      <c r="E128" s="1036"/>
      <c r="F128" s="526" t="s">
        <v>5</v>
      </c>
      <c r="G128" s="558">
        <v>181929.50490999999</v>
      </c>
      <c r="H128" s="558">
        <v>31884.89068</v>
      </c>
      <c r="I128" s="558">
        <v>31716.69</v>
      </c>
      <c r="J128" s="558">
        <v>30276.991890000001</v>
      </c>
      <c r="K128" s="558">
        <f>168200/1000</f>
        <v>168.2</v>
      </c>
      <c r="L128" s="560">
        <f t="shared" si="12"/>
        <v>0.94957176406414456</v>
      </c>
      <c r="M128" s="1029"/>
      <c r="N128" s="1031"/>
    </row>
    <row r="129" spans="1:14" x14ac:dyDescent="0.25">
      <c r="A129" s="880"/>
      <c r="B129" s="1040"/>
      <c r="C129" s="909"/>
      <c r="D129" s="906"/>
      <c r="E129" s="1036"/>
      <c r="F129" s="526" t="s">
        <v>6</v>
      </c>
      <c r="G129" s="558">
        <v>578.20000000000005</v>
      </c>
      <c r="H129" s="558">
        <v>0</v>
      </c>
      <c r="I129" s="558">
        <f>'[1]Отчет ГП Культура_Мероприятия'!E675</f>
        <v>0</v>
      </c>
      <c r="J129" s="558">
        <f>'[1]Отчет ГП Культура_Мероприятия'!F675</f>
        <v>0</v>
      </c>
      <c r="K129" s="558">
        <v>0</v>
      </c>
      <c r="L129" s="560">
        <f t="shared" si="12"/>
        <v>0</v>
      </c>
      <c r="M129" s="1029"/>
      <c r="N129" s="1031"/>
    </row>
    <row r="130" spans="1:14" x14ac:dyDescent="0.25">
      <c r="A130" s="880"/>
      <c r="B130" s="1041"/>
      <c r="C130" s="910"/>
      <c r="D130" s="907"/>
      <c r="E130" s="1037"/>
      <c r="F130" s="526" t="s">
        <v>7</v>
      </c>
      <c r="G130" s="558">
        <v>0</v>
      </c>
      <c r="H130" s="558">
        <v>0</v>
      </c>
      <c r="I130" s="558"/>
      <c r="J130" s="558"/>
      <c r="K130" s="558">
        <v>0</v>
      </c>
      <c r="L130" s="560">
        <f t="shared" si="12"/>
        <v>0</v>
      </c>
      <c r="M130" s="1029"/>
      <c r="N130" s="1031"/>
    </row>
    <row r="131" spans="1:14" ht="21" x14ac:dyDescent="0.25">
      <c r="A131" s="864" t="s">
        <v>1187</v>
      </c>
      <c r="B131" s="865"/>
      <c r="C131" s="865"/>
      <c r="D131" s="865"/>
      <c r="E131" s="866"/>
      <c r="F131" s="586" t="s">
        <v>3</v>
      </c>
      <c r="G131" s="587">
        <f>SUM(G132:G135)</f>
        <v>4798540.3</v>
      </c>
      <c r="H131" s="587">
        <f>SUM(H132:H135)</f>
        <v>4655761.1126100002</v>
      </c>
      <c r="I131" s="587">
        <f>SUM(I132:I135)</f>
        <v>4432370.9473899994</v>
      </c>
      <c r="J131" s="587">
        <f>SUM(J132:J135)</f>
        <v>3606764.4862799994</v>
      </c>
      <c r="K131" s="587">
        <f>SUM(K132:K134)</f>
        <v>537736.84899000009</v>
      </c>
      <c r="L131" s="588">
        <f>J131/H131</f>
        <v>0.7746884771452679</v>
      </c>
      <c r="M131" s="876"/>
      <c r="N131" s="944"/>
    </row>
    <row r="132" spans="1:14" x14ac:dyDescent="0.25">
      <c r="A132" s="867"/>
      <c r="B132" s="868"/>
      <c r="C132" s="868"/>
      <c r="D132" s="868"/>
      <c r="E132" s="869"/>
      <c r="F132" s="589" t="s">
        <v>179</v>
      </c>
      <c r="G132" s="590">
        <f>SUM(G138,G156,G161,G164,G167,G170,G140,G145,G150,G175,G178,G210,G215,G220,G225,G230,G235,G240,G245,G251,G254,G257,G300,G302)</f>
        <v>3415796.8000000003</v>
      </c>
      <c r="H132" s="590">
        <f>SUM(H138,H140,H156,H161,H164,H167,H170,H145,H175,H178,H182,H186,H190,H194,H198,H202,H206,H210,H215,H220,H225,H230,H235,H245,H251,H257,H260,H264,H268,H272,H276,H280,H284,H288,H292,H294,H296,H298,H300,H302,H306,H311,H316,H319,H322,H327,H330,H333,H336,H339,H342,H345,H348,H353,H358,)</f>
        <v>3181003.6253800001</v>
      </c>
      <c r="I132" s="590">
        <f>SUM(I138,I140,I145,I156,I161,I167,I182,I186,I190,I194,I198,I202,I206,I210,I215,I220,I225,I230,I235,I245,I251,I257,I260,I264,I268,I272,I276,I280,I284,I288,I292,I294,I296,I298,I300,I302,I306,I311,I322,I327,I330,I333,I336,I339,I342,I345,I348,I353,I358,)</f>
        <v>3054444.9628099995</v>
      </c>
      <c r="J132" s="590">
        <f>SUM(J138,J156,J140,J161,J164,J167,J170,J145,J182,J186,J190,J194,J198,J202,J206,J210,J225,J230,J235,J245,J251,J257,J300,J302,J306,J311,J322,J327,J330,J333,J336,J339,J342,J345,)</f>
        <v>2376944.7862799997</v>
      </c>
      <c r="K132" s="590">
        <f>SUM(K138,K167,K140,K145,K215,K220,K230,K235,K210,)</f>
        <v>431473.71652999998</v>
      </c>
      <c r="L132" s="591">
        <f>J132/H132</f>
        <v>0.74723108371058578</v>
      </c>
      <c r="M132" s="877"/>
      <c r="N132" s="945"/>
    </row>
    <row r="133" spans="1:14" x14ac:dyDescent="0.25">
      <c r="A133" s="867"/>
      <c r="B133" s="868"/>
      <c r="C133" s="868"/>
      <c r="D133" s="868"/>
      <c r="E133" s="869"/>
      <c r="F133" s="589" t="s">
        <v>639</v>
      </c>
      <c r="G133" s="593">
        <f>SUM(G157,G211,G221,G226,G231,G236,G246,G303)</f>
        <v>867913.4</v>
      </c>
      <c r="H133" s="590">
        <f>SUM(H157,H183,H211,H226,H231,H236,H246,H303,H307,H312,H323,)</f>
        <v>1228373.5335600001</v>
      </c>
      <c r="I133" s="590">
        <f>SUM(I157,I183,I191,I203,I211,I226,I231,I236,I246,I303,I307,I312,I323,I349,)</f>
        <v>1228199.43356</v>
      </c>
      <c r="J133" s="590">
        <f>SUM(J157,J183,J187,J226,J231,J246,J303,J307,J312,J323,)</f>
        <v>1124169.0999999999</v>
      </c>
      <c r="K133" s="590">
        <f>SUM(K211,K236,)</f>
        <v>104030.33356</v>
      </c>
      <c r="L133" s="591">
        <f>J133/H133</f>
        <v>0.91516877341210612</v>
      </c>
      <c r="M133" s="877"/>
      <c r="N133" s="945"/>
    </row>
    <row r="134" spans="1:14" x14ac:dyDescent="0.25">
      <c r="A134" s="867"/>
      <c r="B134" s="868"/>
      <c r="C134" s="868"/>
      <c r="D134" s="868"/>
      <c r="E134" s="869"/>
      <c r="F134" s="589" t="s">
        <v>6</v>
      </c>
      <c r="G134" s="590">
        <f>SUM(G158,G162,G165,G168,G171,G173,)</f>
        <v>465318.50000000006</v>
      </c>
      <c r="H134" s="590">
        <f>SUM(H158,H162,H165,H168,H171,H173,H152,H176,H179,H184,H188,H192,H196,H200,H204,H208,H261,H265,H269,H273,H277,H281,H285,H289,H308,H313,H324,H350,H355,H360,)</f>
        <v>175649.65212000004</v>
      </c>
      <c r="I134" s="590">
        <f>SUM(I152,I158,I162,I168,I173,I184,I188,I192,I196,I200,I204,I208,I227,I247,I261,I265,I269,I273,I277,I281,I285,I289,I308,I313,I324,I350,I355,I360,)</f>
        <v>90807.251019999982</v>
      </c>
      <c r="J134" s="590">
        <f>SUM(J158,J162,J165,J168,J171,J173,J188,J192,J196,J200,J204,J208,J308,J313,J324,)</f>
        <v>86510</v>
      </c>
      <c r="K134" s="590">
        <f>SUM(K152,)</f>
        <v>2232.7988999999998</v>
      </c>
      <c r="L134" s="591">
        <f>J134/H134</f>
        <v>0.49251449664641656</v>
      </c>
      <c r="M134" s="877"/>
      <c r="N134" s="945"/>
    </row>
    <row r="135" spans="1:14" x14ac:dyDescent="0.25">
      <c r="A135" s="1015"/>
      <c r="B135" s="1016"/>
      <c r="C135" s="1016"/>
      <c r="D135" s="1016"/>
      <c r="E135" s="1017"/>
      <c r="F135" s="589" t="s">
        <v>7</v>
      </c>
      <c r="G135" s="590">
        <f>SUM(G252+G255+G258+G304)</f>
        <v>49511.6</v>
      </c>
      <c r="H135" s="590">
        <f>SUM(H262+H266+H270+H274+H278+H282+H286+H290+H309+H314+H351+H356+H361)</f>
        <v>70734.301550000004</v>
      </c>
      <c r="I135" s="590">
        <f>SUM(I262+I309+I314+I351+I356+I361)</f>
        <v>58919.3</v>
      </c>
      <c r="J135" s="590">
        <f>SUM(J309,J314,)</f>
        <v>19140.599999999999</v>
      </c>
      <c r="K135" s="590">
        <v>0</v>
      </c>
      <c r="L135" s="591">
        <f>J135/H135</f>
        <v>0.27059855799198174</v>
      </c>
      <c r="M135" s="943"/>
      <c r="N135" s="946"/>
    </row>
    <row r="136" spans="1:14" x14ac:dyDescent="0.25">
      <c r="A136" s="843" t="s">
        <v>987</v>
      </c>
      <c r="B136" s="947"/>
      <c r="C136" s="947"/>
      <c r="D136" s="947"/>
      <c r="E136" s="947"/>
      <c r="F136" s="947"/>
      <c r="G136" s="947"/>
      <c r="H136" s="947"/>
      <c r="I136" s="947"/>
      <c r="J136" s="947"/>
      <c r="K136" s="947"/>
      <c r="L136" s="947"/>
      <c r="M136" s="947"/>
      <c r="N136" s="948"/>
    </row>
    <row r="137" spans="1:14" ht="21" x14ac:dyDescent="0.25">
      <c r="A137" s="846">
        <v>23</v>
      </c>
      <c r="B137" s="1038" t="s">
        <v>1188</v>
      </c>
      <c r="C137" s="846" t="s">
        <v>237</v>
      </c>
      <c r="D137" s="846" t="s">
        <v>2002</v>
      </c>
      <c r="E137" s="849" t="s">
        <v>1189</v>
      </c>
      <c r="F137" s="511" t="s">
        <v>3</v>
      </c>
      <c r="G137" s="561">
        <f>G138</f>
        <v>14131.5</v>
      </c>
      <c r="H137" s="561">
        <f>H138</f>
        <v>6436.4305199999999</v>
      </c>
      <c r="I137" s="561">
        <f>I138</f>
        <v>6128.4952300000004</v>
      </c>
      <c r="J137" s="561">
        <v>0</v>
      </c>
      <c r="K137" s="561">
        <f>K138</f>
        <v>6128.4952300000004</v>
      </c>
      <c r="L137" s="562">
        <v>0.95</v>
      </c>
      <c r="M137" s="850">
        <v>1</v>
      </c>
      <c r="N137" s="851" t="s">
        <v>2003</v>
      </c>
    </row>
    <row r="138" spans="1:14" x14ac:dyDescent="0.25">
      <c r="A138" s="846"/>
      <c r="B138" s="1038"/>
      <c r="C138" s="846"/>
      <c r="D138" s="846"/>
      <c r="E138" s="849"/>
      <c r="F138" s="490" t="s">
        <v>179</v>
      </c>
      <c r="G138" s="563">
        <v>14131.5</v>
      </c>
      <c r="H138" s="563">
        <v>6436.4305199999999</v>
      </c>
      <c r="I138" s="563">
        <v>6128.4952300000004</v>
      </c>
      <c r="J138" s="563">
        <v>0</v>
      </c>
      <c r="K138" s="563">
        <v>6128.4952300000004</v>
      </c>
      <c r="L138" s="562">
        <v>0.95</v>
      </c>
      <c r="M138" s="850"/>
      <c r="N138" s="851"/>
    </row>
    <row r="139" spans="1:14" x14ac:dyDescent="0.25">
      <c r="A139" s="1042">
        <v>24</v>
      </c>
      <c r="B139" s="1043" t="s">
        <v>1190</v>
      </c>
      <c r="C139" s="1042" t="s">
        <v>1191</v>
      </c>
      <c r="D139" s="1042" t="s">
        <v>2004</v>
      </c>
      <c r="E139" s="1044">
        <v>622619</v>
      </c>
      <c r="F139" s="564" t="s">
        <v>3</v>
      </c>
      <c r="G139" s="565">
        <f>SUM(G140:G143)</f>
        <v>294387.7</v>
      </c>
      <c r="H139" s="565">
        <f>SUM(H140:H143)</f>
        <v>346058.43614000001</v>
      </c>
      <c r="I139" s="565">
        <f>SUM(I140:I143)</f>
        <v>328231.31933000003</v>
      </c>
      <c r="J139" s="565">
        <f>SUM(J140:J143)</f>
        <v>8345.1817100000335</v>
      </c>
      <c r="K139" s="565">
        <f>SUM(K140:K143)</f>
        <v>319886.13761999999</v>
      </c>
      <c r="L139" s="566">
        <v>0.95</v>
      </c>
      <c r="M139" s="1045">
        <v>1</v>
      </c>
      <c r="N139" s="1030" t="s">
        <v>2005</v>
      </c>
    </row>
    <row r="140" spans="1:14" x14ac:dyDescent="0.25">
      <c r="A140" s="1042"/>
      <c r="B140" s="1043"/>
      <c r="C140" s="1042"/>
      <c r="D140" s="1042"/>
      <c r="E140" s="1044"/>
      <c r="F140" s="567" t="s">
        <v>179</v>
      </c>
      <c r="G140" s="563">
        <v>294387.7</v>
      </c>
      <c r="H140" s="563">
        <v>346058.43614000001</v>
      </c>
      <c r="I140" s="563">
        <v>328231.31933000003</v>
      </c>
      <c r="J140" s="594">
        <f>I140-K140</f>
        <v>8345.1817100000335</v>
      </c>
      <c r="K140" s="563">
        <v>319886.13761999999</v>
      </c>
      <c r="L140" s="566">
        <v>0.95</v>
      </c>
      <c r="M140" s="1045"/>
      <c r="N140" s="1030"/>
    </row>
    <row r="141" spans="1:14" x14ac:dyDescent="0.25">
      <c r="A141" s="1042"/>
      <c r="B141" s="1043"/>
      <c r="C141" s="1042"/>
      <c r="D141" s="1042"/>
      <c r="E141" s="1044"/>
      <c r="F141" s="567" t="s">
        <v>639</v>
      </c>
      <c r="G141" s="563">
        <v>0</v>
      </c>
      <c r="H141" s="563">
        <v>0</v>
      </c>
      <c r="I141" s="563">
        <v>0</v>
      </c>
      <c r="J141" s="563">
        <v>0</v>
      </c>
      <c r="K141" s="563">
        <v>0</v>
      </c>
      <c r="L141" s="568">
        <v>0</v>
      </c>
      <c r="M141" s="1045"/>
      <c r="N141" s="1030"/>
    </row>
    <row r="142" spans="1:14" x14ac:dyDescent="0.25">
      <c r="A142" s="1042"/>
      <c r="B142" s="1043"/>
      <c r="C142" s="1042"/>
      <c r="D142" s="1042"/>
      <c r="E142" s="1044"/>
      <c r="F142" s="567" t="s">
        <v>6</v>
      </c>
      <c r="G142" s="563">
        <v>0</v>
      </c>
      <c r="H142" s="563">
        <v>0</v>
      </c>
      <c r="I142" s="563">
        <v>0</v>
      </c>
      <c r="J142" s="563">
        <v>0</v>
      </c>
      <c r="K142" s="563">
        <v>0</v>
      </c>
      <c r="L142" s="568">
        <v>0</v>
      </c>
      <c r="M142" s="1045"/>
      <c r="N142" s="1030"/>
    </row>
    <row r="143" spans="1:14" x14ac:dyDescent="0.25">
      <c r="A143" s="1042"/>
      <c r="B143" s="1043"/>
      <c r="C143" s="1042"/>
      <c r="D143" s="1042"/>
      <c r="E143" s="1044"/>
      <c r="F143" s="567" t="s">
        <v>7</v>
      </c>
      <c r="G143" s="563">
        <v>0</v>
      </c>
      <c r="H143" s="563">
        <v>0</v>
      </c>
      <c r="I143" s="563">
        <v>0</v>
      </c>
      <c r="J143" s="563">
        <v>0</v>
      </c>
      <c r="K143" s="563">
        <v>0</v>
      </c>
      <c r="L143" s="568">
        <v>0</v>
      </c>
      <c r="M143" s="1045"/>
      <c r="N143" s="1030"/>
    </row>
    <row r="144" spans="1:14" x14ac:dyDescent="0.25">
      <c r="A144" s="1042">
        <v>25</v>
      </c>
      <c r="B144" s="1043" t="s">
        <v>1535</v>
      </c>
      <c r="C144" s="1042" t="s">
        <v>1191</v>
      </c>
      <c r="D144" s="1042" t="s">
        <v>2006</v>
      </c>
      <c r="E144" s="1048">
        <v>967246.5</v>
      </c>
      <c r="F144" s="564" t="s">
        <v>3</v>
      </c>
      <c r="G144" s="565">
        <f>SUM(G145:G148)</f>
        <v>10902.8</v>
      </c>
      <c r="H144" s="565">
        <f>SUM(H145:H148)</f>
        <v>298328.20062999998</v>
      </c>
      <c r="I144" s="565">
        <f>SUM(I145:I148)</f>
        <v>306468.95421</v>
      </c>
      <c r="J144" s="565">
        <f>SUM(J145:J148)</f>
        <v>291193.25420999998</v>
      </c>
      <c r="K144" s="565">
        <f>SUM(K145:K148)</f>
        <v>15275.7</v>
      </c>
      <c r="L144" s="566">
        <f>J144/H144</f>
        <v>0.97608356700797094</v>
      </c>
      <c r="M144" s="1045">
        <v>0.02</v>
      </c>
      <c r="N144" s="1030" t="s">
        <v>2007</v>
      </c>
    </row>
    <row r="145" spans="1:14" x14ac:dyDescent="0.25">
      <c r="A145" s="1042"/>
      <c r="B145" s="1043"/>
      <c r="C145" s="1042"/>
      <c r="D145" s="1042"/>
      <c r="E145" s="1048"/>
      <c r="F145" s="567" t="s">
        <v>179</v>
      </c>
      <c r="G145" s="563">
        <v>10902.8</v>
      </c>
      <c r="H145" s="563">
        <v>298328.20062999998</v>
      </c>
      <c r="I145" s="563">
        <f>SUM(J145:K145)</f>
        <v>306468.95421</v>
      </c>
      <c r="J145" s="563">
        <v>291193.25420999998</v>
      </c>
      <c r="K145" s="594">
        <v>15275.7</v>
      </c>
      <c r="L145" s="568">
        <f>J145/H145</f>
        <v>0.97608356700797094</v>
      </c>
      <c r="M145" s="1045"/>
      <c r="N145" s="1030"/>
    </row>
    <row r="146" spans="1:14" x14ac:dyDescent="0.25">
      <c r="A146" s="1042"/>
      <c r="B146" s="1043"/>
      <c r="C146" s="1042"/>
      <c r="D146" s="1042"/>
      <c r="E146" s="1048"/>
      <c r="F146" s="567" t="s">
        <v>639</v>
      </c>
      <c r="G146" s="563">
        <v>0</v>
      </c>
      <c r="H146" s="563">
        <v>0</v>
      </c>
      <c r="I146" s="563">
        <v>0</v>
      </c>
      <c r="J146" s="563">
        <v>0</v>
      </c>
      <c r="K146" s="563">
        <v>0</v>
      </c>
      <c r="L146" s="568">
        <v>0</v>
      </c>
      <c r="M146" s="1045"/>
      <c r="N146" s="1030"/>
    </row>
    <row r="147" spans="1:14" x14ac:dyDescent="0.25">
      <c r="A147" s="1042"/>
      <c r="B147" s="1043"/>
      <c r="C147" s="1042"/>
      <c r="D147" s="1042"/>
      <c r="E147" s="1048"/>
      <c r="F147" s="567" t="s">
        <v>6</v>
      </c>
      <c r="G147" s="563">
        <v>0</v>
      </c>
      <c r="H147" s="563">
        <v>0</v>
      </c>
      <c r="I147" s="563">
        <v>0</v>
      </c>
      <c r="J147" s="563">
        <v>0</v>
      </c>
      <c r="K147" s="563">
        <v>0</v>
      </c>
      <c r="L147" s="568">
        <v>0</v>
      </c>
      <c r="M147" s="1045"/>
      <c r="N147" s="1030"/>
    </row>
    <row r="148" spans="1:14" x14ac:dyDescent="0.25">
      <c r="A148" s="1042"/>
      <c r="B148" s="1043"/>
      <c r="C148" s="1042"/>
      <c r="D148" s="1042"/>
      <c r="E148" s="1048"/>
      <c r="F148" s="567" t="s">
        <v>7</v>
      </c>
      <c r="G148" s="563">
        <v>0</v>
      </c>
      <c r="H148" s="563">
        <v>0</v>
      </c>
      <c r="I148" s="563">
        <v>0</v>
      </c>
      <c r="J148" s="563">
        <v>0</v>
      </c>
      <c r="K148" s="563">
        <v>0</v>
      </c>
      <c r="L148" s="568">
        <v>0</v>
      </c>
      <c r="M148" s="1045"/>
      <c r="N148" s="1030"/>
    </row>
    <row r="149" spans="1:14" x14ac:dyDescent="0.25">
      <c r="A149" s="1046" t="s">
        <v>2008</v>
      </c>
      <c r="B149" s="1030" t="s">
        <v>2009</v>
      </c>
      <c r="C149" s="1042" t="s">
        <v>2010</v>
      </c>
      <c r="D149" s="1042" t="s">
        <v>2011</v>
      </c>
      <c r="E149" s="1042" t="s">
        <v>2012</v>
      </c>
      <c r="F149" s="595" t="s">
        <v>3</v>
      </c>
      <c r="G149" s="596">
        <f>SUM(G150:G153)</f>
        <v>0</v>
      </c>
      <c r="H149" s="596">
        <f t="shared" ref="H149:K149" si="16">SUM(H150:H153)</f>
        <v>86465.9</v>
      </c>
      <c r="I149" s="596">
        <f t="shared" si="16"/>
        <v>2232.7988999999998</v>
      </c>
      <c r="J149" s="596">
        <f t="shared" si="16"/>
        <v>0</v>
      </c>
      <c r="K149" s="596">
        <f t="shared" si="16"/>
        <v>2232.7988999999998</v>
      </c>
      <c r="L149" s="1045">
        <f>(J149+K149)/H149</f>
        <v>2.5822883934591555E-2</v>
      </c>
      <c r="M149" s="1047">
        <v>0.01</v>
      </c>
      <c r="N149" s="1042" t="s">
        <v>2013</v>
      </c>
    </row>
    <row r="150" spans="1:14" x14ac:dyDescent="0.25">
      <c r="A150" s="1046"/>
      <c r="B150" s="1030"/>
      <c r="C150" s="1042"/>
      <c r="D150" s="1042"/>
      <c r="E150" s="1042"/>
      <c r="F150" s="597" t="s">
        <v>179</v>
      </c>
      <c r="G150" s="563">
        <v>0</v>
      </c>
      <c r="H150" s="563">
        <v>0</v>
      </c>
      <c r="I150" s="563">
        <v>0</v>
      </c>
      <c r="J150" s="563">
        <v>0</v>
      </c>
      <c r="K150" s="563">
        <v>0</v>
      </c>
      <c r="L150" s="1045"/>
      <c r="M150" s="1047"/>
      <c r="N150" s="1042"/>
    </row>
    <row r="151" spans="1:14" x14ac:dyDescent="0.25">
      <c r="A151" s="1046"/>
      <c r="B151" s="1030"/>
      <c r="C151" s="1042"/>
      <c r="D151" s="1042"/>
      <c r="E151" s="1042"/>
      <c r="F151" s="597" t="s">
        <v>639</v>
      </c>
      <c r="G151" s="563">
        <v>0</v>
      </c>
      <c r="H151" s="563">
        <v>0</v>
      </c>
      <c r="I151" s="563">
        <v>0</v>
      </c>
      <c r="J151" s="563">
        <v>0</v>
      </c>
      <c r="K151" s="563">
        <v>0</v>
      </c>
      <c r="L151" s="1045"/>
      <c r="M151" s="1047"/>
      <c r="N151" s="1042"/>
    </row>
    <row r="152" spans="1:14" x14ac:dyDescent="0.25">
      <c r="A152" s="1046"/>
      <c r="B152" s="1030"/>
      <c r="C152" s="1042"/>
      <c r="D152" s="1042"/>
      <c r="E152" s="1042"/>
      <c r="F152" s="597" t="s">
        <v>6</v>
      </c>
      <c r="G152" s="563">
        <v>0</v>
      </c>
      <c r="H152" s="563">
        <v>86465.9</v>
      </c>
      <c r="I152" s="563">
        <f>SUM(J152:K152)</f>
        <v>2232.7988999999998</v>
      </c>
      <c r="J152" s="563">
        <v>0</v>
      </c>
      <c r="K152" s="563">
        <v>2232.7988999999998</v>
      </c>
      <c r="L152" s="1045"/>
      <c r="M152" s="1047"/>
      <c r="N152" s="1042"/>
    </row>
    <row r="153" spans="1:14" x14ac:dyDescent="0.25">
      <c r="A153" s="1046"/>
      <c r="B153" s="1030"/>
      <c r="C153" s="1042"/>
      <c r="D153" s="1042"/>
      <c r="E153" s="1042"/>
      <c r="F153" s="597" t="s">
        <v>7</v>
      </c>
      <c r="G153" s="563">
        <v>0</v>
      </c>
      <c r="H153" s="563">
        <v>0</v>
      </c>
      <c r="I153" s="563">
        <v>0</v>
      </c>
      <c r="J153" s="563">
        <v>0</v>
      </c>
      <c r="K153" s="563">
        <v>0</v>
      </c>
      <c r="L153" s="1045"/>
      <c r="M153" s="1047"/>
      <c r="N153" s="1042"/>
    </row>
    <row r="154" spans="1:14" x14ac:dyDescent="0.25">
      <c r="A154" s="1049" t="s">
        <v>1192</v>
      </c>
      <c r="B154" s="1049"/>
      <c r="C154" s="1049"/>
      <c r="D154" s="1049"/>
      <c r="E154" s="1049"/>
      <c r="F154" s="1049"/>
      <c r="G154" s="1049"/>
      <c r="H154" s="1049"/>
      <c r="I154" s="1049"/>
      <c r="J154" s="1049"/>
      <c r="K154" s="1049"/>
      <c r="L154" s="1049"/>
      <c r="M154" s="1049"/>
      <c r="N154" s="1049"/>
    </row>
    <row r="155" spans="1:14" ht="22.5" x14ac:dyDescent="0.25">
      <c r="A155" s="1050">
        <v>27</v>
      </c>
      <c r="B155" s="847" t="s">
        <v>2014</v>
      </c>
      <c r="C155" s="846" t="s">
        <v>1536</v>
      </c>
      <c r="D155" s="846" t="s">
        <v>2015</v>
      </c>
      <c r="E155" s="846" t="s">
        <v>1537</v>
      </c>
      <c r="F155" s="598" t="s">
        <v>3</v>
      </c>
      <c r="G155" s="599">
        <f>SUM(G156:G158)</f>
        <v>174955.5</v>
      </c>
      <c r="H155" s="599">
        <f t="shared" ref="H155:K155" si="17">SUM(H156:H158)</f>
        <v>116099.26432</v>
      </c>
      <c r="I155" s="599">
        <f t="shared" si="17"/>
        <v>116099.26432</v>
      </c>
      <c r="J155" s="599">
        <f t="shared" si="17"/>
        <v>116099.26432</v>
      </c>
      <c r="K155" s="599">
        <f t="shared" si="17"/>
        <v>0</v>
      </c>
      <c r="L155" s="1051">
        <f>(J155+K155)/H155</f>
        <v>1</v>
      </c>
      <c r="M155" s="1052">
        <v>1</v>
      </c>
      <c r="N155" s="847" t="s">
        <v>2016</v>
      </c>
    </row>
    <row r="156" spans="1:14" x14ac:dyDescent="0.25">
      <c r="A156" s="1050"/>
      <c r="B156" s="847"/>
      <c r="C156" s="846"/>
      <c r="D156" s="846"/>
      <c r="E156" s="846"/>
      <c r="F156" s="600" t="s">
        <v>179</v>
      </c>
      <c r="G156" s="601">
        <v>76389</v>
      </c>
      <c r="H156" s="491">
        <v>50532.764320000002</v>
      </c>
      <c r="I156" s="491">
        <v>50532.764320000002</v>
      </c>
      <c r="J156" s="491">
        <v>50532.764320000002</v>
      </c>
      <c r="K156" s="601">
        <v>0</v>
      </c>
      <c r="L156" s="1051"/>
      <c r="M156" s="1052"/>
      <c r="N156" s="847"/>
    </row>
    <row r="157" spans="1:14" x14ac:dyDescent="0.25">
      <c r="A157" s="1050"/>
      <c r="B157" s="847"/>
      <c r="C157" s="846"/>
      <c r="D157" s="846"/>
      <c r="E157" s="846"/>
      <c r="F157" s="600" t="s">
        <v>639</v>
      </c>
      <c r="G157" s="601">
        <v>83907.8</v>
      </c>
      <c r="H157" s="491">
        <v>55869.5</v>
      </c>
      <c r="I157" s="491">
        <v>55869.5</v>
      </c>
      <c r="J157" s="491">
        <v>55869.5</v>
      </c>
      <c r="K157" s="601">
        <v>0</v>
      </c>
      <c r="L157" s="1051"/>
      <c r="M157" s="1052"/>
      <c r="N157" s="847"/>
    </row>
    <row r="158" spans="1:14" x14ac:dyDescent="0.25">
      <c r="A158" s="1050"/>
      <c r="B158" s="847"/>
      <c r="C158" s="846"/>
      <c r="D158" s="846"/>
      <c r="E158" s="846"/>
      <c r="F158" s="600" t="s">
        <v>6</v>
      </c>
      <c r="G158" s="594">
        <v>14658.7</v>
      </c>
      <c r="H158" s="491">
        <v>9697</v>
      </c>
      <c r="I158" s="491">
        <v>9697</v>
      </c>
      <c r="J158" s="491">
        <v>9697</v>
      </c>
      <c r="K158" s="594">
        <v>0</v>
      </c>
      <c r="L158" s="1051"/>
      <c r="M158" s="1052"/>
      <c r="N158" s="847"/>
    </row>
    <row r="159" spans="1:14" x14ac:dyDescent="0.25">
      <c r="A159" s="1053" t="s">
        <v>988</v>
      </c>
      <c r="B159" s="1054"/>
      <c r="C159" s="1054"/>
      <c r="D159" s="1054"/>
      <c r="E159" s="1054"/>
      <c r="F159" s="1054"/>
      <c r="G159" s="1054"/>
      <c r="H159" s="1054"/>
      <c r="I159" s="1054"/>
      <c r="J159" s="1054"/>
      <c r="K159" s="1054"/>
      <c r="L159" s="1054"/>
      <c r="M159" s="1054"/>
      <c r="N159" s="1054"/>
    </row>
    <row r="160" spans="1:14" x14ac:dyDescent="0.25">
      <c r="A160" s="1055">
        <v>28</v>
      </c>
      <c r="B160" s="846" t="s">
        <v>2017</v>
      </c>
      <c r="C160" s="846" t="s">
        <v>2018</v>
      </c>
      <c r="D160" s="846" t="s">
        <v>2019</v>
      </c>
      <c r="E160" s="846" t="s">
        <v>1193</v>
      </c>
      <c r="F160" s="595" t="s">
        <v>3</v>
      </c>
      <c r="G160" s="596">
        <f>SUM(G161:G162)</f>
        <v>190613.00000000003</v>
      </c>
      <c r="H160" s="596">
        <f t="shared" ref="H160:K160" si="18">SUM(H161:H162)</f>
        <v>27956.794999999998</v>
      </c>
      <c r="I160" s="596">
        <f t="shared" si="18"/>
        <v>27359.494999999999</v>
      </c>
      <c r="J160" s="596">
        <f t="shared" si="18"/>
        <v>27359.494999999999</v>
      </c>
      <c r="K160" s="596">
        <f t="shared" si="18"/>
        <v>0</v>
      </c>
      <c r="L160" s="1056">
        <f>(J161+K161)/H161</f>
        <v>1</v>
      </c>
      <c r="M160" s="1057">
        <v>0.49</v>
      </c>
      <c r="N160" s="1058" t="s">
        <v>2020</v>
      </c>
    </row>
    <row r="161" spans="1:14" x14ac:dyDescent="0.25">
      <c r="A161" s="1055"/>
      <c r="B161" s="846"/>
      <c r="C161" s="846"/>
      <c r="D161" s="846"/>
      <c r="E161" s="846"/>
      <c r="F161" s="597" t="s">
        <v>179</v>
      </c>
      <c r="G161" s="563">
        <v>181082.30000000002</v>
      </c>
      <c r="H161" s="563">
        <v>25991.494999999999</v>
      </c>
      <c r="I161" s="563">
        <v>25991.494999999999</v>
      </c>
      <c r="J161" s="563">
        <v>25991.494999999999</v>
      </c>
      <c r="K161" s="563">
        <v>0</v>
      </c>
      <c r="L161" s="1056"/>
      <c r="M161" s="1057"/>
      <c r="N161" s="1058"/>
    </row>
    <row r="162" spans="1:14" x14ac:dyDescent="0.25">
      <c r="A162" s="1055"/>
      <c r="B162" s="846"/>
      <c r="C162" s="846"/>
      <c r="D162" s="846"/>
      <c r="E162" s="846"/>
      <c r="F162" s="597" t="s">
        <v>6</v>
      </c>
      <c r="G162" s="563">
        <v>9530.7000000000007</v>
      </c>
      <c r="H162" s="563">
        <v>1965.3</v>
      </c>
      <c r="I162" s="563">
        <v>1368</v>
      </c>
      <c r="J162" s="563">
        <v>1368</v>
      </c>
      <c r="K162" s="563">
        <v>0</v>
      </c>
      <c r="L162" s="1056"/>
      <c r="M162" s="1057"/>
      <c r="N162" s="1058"/>
    </row>
    <row r="163" spans="1:14" x14ac:dyDescent="0.25">
      <c r="A163" s="846">
        <v>29</v>
      </c>
      <c r="B163" s="846" t="s">
        <v>2021</v>
      </c>
      <c r="C163" s="846" t="s">
        <v>2022</v>
      </c>
      <c r="D163" s="846" t="s">
        <v>2023</v>
      </c>
      <c r="E163" s="846" t="s">
        <v>2024</v>
      </c>
      <c r="F163" s="595" t="s">
        <v>3</v>
      </c>
      <c r="G163" s="596">
        <f>SUM(G164:G165)</f>
        <v>110279.50000000001</v>
      </c>
      <c r="H163" s="596">
        <f t="shared" ref="H163:K163" si="19">SUM(H164:H165)</f>
        <v>0</v>
      </c>
      <c r="I163" s="596">
        <f t="shared" si="19"/>
        <v>0</v>
      </c>
      <c r="J163" s="596">
        <f t="shared" si="19"/>
        <v>0</v>
      </c>
      <c r="K163" s="596">
        <f t="shared" si="19"/>
        <v>0</v>
      </c>
      <c r="L163" s="1061">
        <v>0</v>
      </c>
      <c r="M163" s="1059">
        <v>0.36</v>
      </c>
      <c r="N163" s="1060" t="s">
        <v>2025</v>
      </c>
    </row>
    <row r="164" spans="1:14" x14ac:dyDescent="0.25">
      <c r="A164" s="846"/>
      <c r="B164" s="846"/>
      <c r="C164" s="846"/>
      <c r="D164" s="846"/>
      <c r="E164" s="846"/>
      <c r="F164" s="597" t="s">
        <v>179</v>
      </c>
      <c r="G164" s="563">
        <v>104676.90000000001</v>
      </c>
      <c r="H164" s="563">
        <v>0</v>
      </c>
      <c r="I164" s="563">
        <v>0</v>
      </c>
      <c r="J164" s="563">
        <v>0</v>
      </c>
      <c r="K164" s="563">
        <v>0</v>
      </c>
      <c r="L164" s="1061"/>
      <c r="M164" s="1059"/>
      <c r="N164" s="1060"/>
    </row>
    <row r="165" spans="1:14" x14ac:dyDescent="0.25">
      <c r="A165" s="846"/>
      <c r="B165" s="846"/>
      <c r="C165" s="846"/>
      <c r="D165" s="846"/>
      <c r="E165" s="846"/>
      <c r="F165" s="597" t="s">
        <v>6</v>
      </c>
      <c r="G165" s="563">
        <v>5602.6</v>
      </c>
      <c r="H165" s="563">
        <v>0</v>
      </c>
      <c r="I165" s="563">
        <v>0</v>
      </c>
      <c r="J165" s="563">
        <v>0</v>
      </c>
      <c r="K165" s="563">
        <v>0</v>
      </c>
      <c r="L165" s="1061"/>
      <c r="M165" s="1059"/>
      <c r="N165" s="1060"/>
    </row>
    <row r="166" spans="1:14" x14ac:dyDescent="0.25">
      <c r="A166" s="1055">
        <v>30</v>
      </c>
      <c r="B166" s="846" t="s">
        <v>2026</v>
      </c>
      <c r="C166" s="846" t="s">
        <v>2027</v>
      </c>
      <c r="D166" s="846" t="s">
        <v>2028</v>
      </c>
      <c r="E166" s="846" t="s">
        <v>1538</v>
      </c>
      <c r="F166" s="595" t="s">
        <v>3</v>
      </c>
      <c r="G166" s="596">
        <f>SUM(G167:G168)</f>
        <v>160596.9</v>
      </c>
      <c r="H166" s="596">
        <f t="shared" ref="H166:K166" si="20">SUM(H167:H168)</f>
        <v>126.5</v>
      </c>
      <c r="I166" s="596">
        <f t="shared" si="20"/>
        <v>126.5</v>
      </c>
      <c r="J166" s="596">
        <f t="shared" si="20"/>
        <v>126.5</v>
      </c>
      <c r="K166" s="596">
        <f t="shared" si="20"/>
        <v>0</v>
      </c>
      <c r="L166" s="1061">
        <f>(J166+K166)/H166</f>
        <v>1</v>
      </c>
      <c r="M166" s="1059">
        <v>1</v>
      </c>
      <c r="N166" s="1060" t="s">
        <v>2029</v>
      </c>
    </row>
    <row r="167" spans="1:14" x14ac:dyDescent="0.25">
      <c r="A167" s="1055"/>
      <c r="B167" s="846"/>
      <c r="C167" s="846"/>
      <c r="D167" s="846"/>
      <c r="E167" s="846"/>
      <c r="F167" s="597" t="s">
        <v>179</v>
      </c>
      <c r="G167" s="563">
        <v>152567.1</v>
      </c>
      <c r="H167" s="563">
        <v>120.2</v>
      </c>
      <c r="I167" s="563">
        <v>120.2</v>
      </c>
      <c r="J167" s="563">
        <v>120.2</v>
      </c>
      <c r="K167" s="563">
        <v>0</v>
      </c>
      <c r="L167" s="1061"/>
      <c r="M167" s="1059"/>
      <c r="N167" s="1060"/>
    </row>
    <row r="168" spans="1:14" x14ac:dyDescent="0.25">
      <c r="A168" s="1055"/>
      <c r="B168" s="846"/>
      <c r="C168" s="846"/>
      <c r="D168" s="846"/>
      <c r="E168" s="846"/>
      <c r="F168" s="597" t="s">
        <v>6</v>
      </c>
      <c r="G168" s="563">
        <v>8029.7999999999993</v>
      </c>
      <c r="H168" s="563">
        <v>6.3</v>
      </c>
      <c r="I168" s="563">
        <v>6.3</v>
      </c>
      <c r="J168" s="563">
        <v>6.3</v>
      </c>
      <c r="K168" s="563">
        <v>0</v>
      </c>
      <c r="L168" s="1061"/>
      <c r="M168" s="1059"/>
      <c r="N168" s="1060"/>
    </row>
    <row r="169" spans="1:14" x14ac:dyDescent="0.25">
      <c r="A169" s="846">
        <v>31</v>
      </c>
      <c r="B169" s="846" t="s">
        <v>2030</v>
      </c>
      <c r="C169" s="846" t="s">
        <v>2031</v>
      </c>
      <c r="D169" s="846" t="s">
        <v>2032</v>
      </c>
      <c r="E169" s="849" t="s">
        <v>2033</v>
      </c>
      <c r="F169" s="595" t="s">
        <v>3</v>
      </c>
      <c r="G169" s="596">
        <f>SUM(G170:G171)</f>
        <v>124589.29999999999</v>
      </c>
      <c r="H169" s="596">
        <f t="shared" ref="H169:K169" si="21">SUM(H170:H171)</f>
        <v>0</v>
      </c>
      <c r="I169" s="596">
        <f t="shared" si="21"/>
        <v>0</v>
      </c>
      <c r="J169" s="596">
        <f t="shared" si="21"/>
        <v>0</v>
      </c>
      <c r="K169" s="596">
        <f t="shared" si="21"/>
        <v>0</v>
      </c>
      <c r="L169" s="1061">
        <v>0</v>
      </c>
      <c r="M169" s="1059">
        <v>0.39</v>
      </c>
      <c r="N169" s="1060" t="s">
        <v>2034</v>
      </c>
    </row>
    <row r="170" spans="1:14" x14ac:dyDescent="0.25">
      <c r="A170" s="846"/>
      <c r="B170" s="846"/>
      <c r="C170" s="846"/>
      <c r="D170" s="846"/>
      <c r="E170" s="849"/>
      <c r="F170" s="597" t="s">
        <v>179</v>
      </c>
      <c r="G170" s="563">
        <v>118359.9</v>
      </c>
      <c r="H170" s="563">
        <v>0</v>
      </c>
      <c r="I170" s="563">
        <v>0</v>
      </c>
      <c r="J170" s="563">
        <v>0</v>
      </c>
      <c r="K170" s="563">
        <v>0</v>
      </c>
      <c r="L170" s="1061"/>
      <c r="M170" s="1059"/>
      <c r="N170" s="1060"/>
    </row>
    <row r="171" spans="1:14" x14ac:dyDescent="0.25">
      <c r="A171" s="846"/>
      <c r="B171" s="846"/>
      <c r="C171" s="846"/>
      <c r="D171" s="846"/>
      <c r="E171" s="849"/>
      <c r="F171" s="597" t="s">
        <v>6</v>
      </c>
      <c r="G171" s="563">
        <v>6229.4</v>
      </c>
      <c r="H171" s="563">
        <v>0</v>
      </c>
      <c r="I171" s="563">
        <v>0</v>
      </c>
      <c r="J171" s="563">
        <v>0</v>
      </c>
      <c r="K171" s="563">
        <v>0</v>
      </c>
      <c r="L171" s="1061"/>
      <c r="M171" s="1059"/>
      <c r="N171" s="1060"/>
    </row>
    <row r="172" spans="1:14" x14ac:dyDescent="0.25">
      <c r="A172" s="846">
        <v>32</v>
      </c>
      <c r="B172" s="846" t="s">
        <v>1194</v>
      </c>
      <c r="C172" s="846" t="s">
        <v>2035</v>
      </c>
      <c r="D172" s="846" t="s">
        <v>2036</v>
      </c>
      <c r="E172" s="491">
        <v>493541.22</v>
      </c>
      <c r="F172" s="595" t="s">
        <v>3</v>
      </c>
      <c r="G172" s="596">
        <f>G173</f>
        <v>421267.30000000005</v>
      </c>
      <c r="H172" s="596">
        <f t="shared" ref="H172:K172" si="22">H173</f>
        <v>72273.899999999994</v>
      </c>
      <c r="I172" s="596">
        <f t="shared" si="22"/>
        <v>72273.899999999994</v>
      </c>
      <c r="J172" s="596">
        <f t="shared" si="22"/>
        <v>72273.899999999994</v>
      </c>
      <c r="K172" s="596">
        <f t="shared" si="22"/>
        <v>0</v>
      </c>
      <c r="L172" s="1061">
        <f>(J172+K172)/H172</f>
        <v>1</v>
      </c>
      <c r="M172" s="1059">
        <v>1</v>
      </c>
      <c r="N172" s="1062" t="s">
        <v>2037</v>
      </c>
    </row>
    <row r="173" spans="1:14" ht="33.75" x14ac:dyDescent="0.25">
      <c r="A173" s="846"/>
      <c r="B173" s="846"/>
      <c r="C173" s="846"/>
      <c r="D173" s="846"/>
      <c r="E173" s="602" t="s">
        <v>2038</v>
      </c>
      <c r="F173" s="597" t="s">
        <v>6</v>
      </c>
      <c r="G173" s="563">
        <v>421267.30000000005</v>
      </c>
      <c r="H173" s="563">
        <v>72273.899999999994</v>
      </c>
      <c r="I173" s="563">
        <v>72273.899999999994</v>
      </c>
      <c r="J173" s="563">
        <v>72273.899999999994</v>
      </c>
      <c r="K173" s="563">
        <v>0</v>
      </c>
      <c r="L173" s="1061"/>
      <c r="M173" s="1059"/>
      <c r="N173" s="1062"/>
    </row>
    <row r="174" spans="1:14" x14ac:dyDescent="0.25">
      <c r="A174" s="1055">
        <v>33</v>
      </c>
      <c r="B174" s="846" t="s">
        <v>2039</v>
      </c>
      <c r="C174" s="846" t="s">
        <v>2040</v>
      </c>
      <c r="D174" s="846" t="s">
        <v>2041</v>
      </c>
      <c r="E174" s="849">
        <v>287066.09999999998</v>
      </c>
      <c r="F174" s="595" t="s">
        <v>3</v>
      </c>
      <c r="G174" s="596">
        <f>SUM(G175:G176)</f>
        <v>0</v>
      </c>
      <c r="H174" s="596">
        <f t="shared" ref="H174:K174" si="23">SUM(H175:H176)</f>
        <v>1.2</v>
      </c>
      <c r="I174" s="596">
        <f t="shared" si="23"/>
        <v>0</v>
      </c>
      <c r="J174" s="596">
        <f t="shared" si="23"/>
        <v>0</v>
      </c>
      <c r="K174" s="596">
        <f t="shared" si="23"/>
        <v>0</v>
      </c>
      <c r="L174" s="1061">
        <f>(J174+K174)/H174</f>
        <v>0</v>
      </c>
      <c r="M174" s="1059">
        <v>0</v>
      </c>
      <c r="N174" s="1060" t="s">
        <v>2042</v>
      </c>
    </row>
    <row r="175" spans="1:14" x14ac:dyDescent="0.25">
      <c r="A175" s="1055"/>
      <c r="B175" s="846"/>
      <c r="C175" s="846"/>
      <c r="D175" s="846"/>
      <c r="E175" s="849"/>
      <c r="F175" s="597" t="s">
        <v>179</v>
      </c>
      <c r="G175" s="563">
        <v>0</v>
      </c>
      <c r="H175" s="563">
        <v>1</v>
      </c>
      <c r="I175" s="563">
        <v>0</v>
      </c>
      <c r="J175" s="563">
        <v>0</v>
      </c>
      <c r="K175" s="563">
        <v>0</v>
      </c>
      <c r="L175" s="1061"/>
      <c r="M175" s="1059"/>
      <c r="N175" s="1060"/>
    </row>
    <row r="176" spans="1:14" x14ac:dyDescent="0.25">
      <c r="A176" s="1055"/>
      <c r="B176" s="846"/>
      <c r="C176" s="846"/>
      <c r="D176" s="846"/>
      <c r="E176" s="849"/>
      <c r="F176" s="597" t="s">
        <v>6</v>
      </c>
      <c r="G176" s="563">
        <v>0</v>
      </c>
      <c r="H176" s="563">
        <v>0.2</v>
      </c>
      <c r="I176" s="563">
        <v>0</v>
      </c>
      <c r="J176" s="563">
        <v>0</v>
      </c>
      <c r="K176" s="563">
        <v>0</v>
      </c>
      <c r="L176" s="1061"/>
      <c r="M176" s="1059"/>
      <c r="N176" s="1060"/>
    </row>
    <row r="177" spans="1:14" x14ac:dyDescent="0.25">
      <c r="A177" s="1055">
        <v>34</v>
      </c>
      <c r="B177" s="846" t="s">
        <v>2043</v>
      </c>
      <c r="C177" s="846" t="s">
        <v>2044</v>
      </c>
      <c r="D177" s="846" t="s">
        <v>2045</v>
      </c>
      <c r="E177" s="849" t="s">
        <v>2046</v>
      </c>
      <c r="F177" s="595" t="s">
        <v>3</v>
      </c>
      <c r="G177" s="596">
        <f>SUM(G178:G179)</f>
        <v>0</v>
      </c>
      <c r="H177" s="596">
        <f t="shared" ref="H177:K177" si="24">SUM(H178:H179)</f>
        <v>1.1000000000000001</v>
      </c>
      <c r="I177" s="596">
        <f t="shared" si="24"/>
        <v>0</v>
      </c>
      <c r="J177" s="596">
        <f t="shared" si="24"/>
        <v>0</v>
      </c>
      <c r="K177" s="596">
        <f t="shared" si="24"/>
        <v>0</v>
      </c>
      <c r="L177" s="1061">
        <f>(J177+K177)/H177</f>
        <v>0</v>
      </c>
      <c r="M177" s="1059">
        <v>0</v>
      </c>
      <c r="N177" s="1060" t="s">
        <v>2047</v>
      </c>
    </row>
    <row r="178" spans="1:14" x14ac:dyDescent="0.25">
      <c r="A178" s="1055"/>
      <c r="B178" s="846"/>
      <c r="C178" s="846"/>
      <c r="D178" s="846"/>
      <c r="E178" s="849"/>
      <c r="F178" s="597" t="s">
        <v>179</v>
      </c>
      <c r="G178" s="563">
        <v>0</v>
      </c>
      <c r="H178" s="563">
        <v>1</v>
      </c>
      <c r="I178" s="563">
        <v>0</v>
      </c>
      <c r="J178" s="563">
        <v>0</v>
      </c>
      <c r="K178" s="563">
        <v>0</v>
      </c>
      <c r="L178" s="1061"/>
      <c r="M178" s="1059"/>
      <c r="N178" s="1060"/>
    </row>
    <row r="179" spans="1:14" x14ac:dyDescent="0.25">
      <c r="A179" s="1055"/>
      <c r="B179" s="846"/>
      <c r="C179" s="846"/>
      <c r="D179" s="846"/>
      <c r="E179" s="849"/>
      <c r="F179" s="597" t="s">
        <v>6</v>
      </c>
      <c r="G179" s="563">
        <v>0</v>
      </c>
      <c r="H179" s="563">
        <v>0.1</v>
      </c>
      <c r="I179" s="563">
        <v>0</v>
      </c>
      <c r="J179" s="563">
        <v>0</v>
      </c>
      <c r="K179" s="563">
        <v>0</v>
      </c>
      <c r="L179" s="1061"/>
      <c r="M179" s="1059"/>
      <c r="N179" s="1060"/>
    </row>
    <row r="180" spans="1:14" x14ac:dyDescent="0.25">
      <c r="A180" s="1053" t="s">
        <v>1195</v>
      </c>
      <c r="B180" s="1054"/>
      <c r="C180" s="1054"/>
      <c r="D180" s="1054"/>
      <c r="E180" s="1054"/>
      <c r="F180" s="1054"/>
      <c r="G180" s="1054"/>
      <c r="H180" s="1054"/>
      <c r="I180" s="1054"/>
      <c r="J180" s="1054"/>
      <c r="K180" s="1054"/>
      <c r="L180" s="1054"/>
      <c r="M180" s="1054"/>
      <c r="N180" s="1054"/>
    </row>
    <row r="181" spans="1:14" ht="22.5" x14ac:dyDescent="0.25">
      <c r="A181" s="1055">
        <v>35</v>
      </c>
      <c r="B181" s="847" t="s">
        <v>2048</v>
      </c>
      <c r="C181" s="846" t="s">
        <v>2040</v>
      </c>
      <c r="D181" s="846" t="s">
        <v>2049</v>
      </c>
      <c r="E181" s="1063">
        <v>2180000</v>
      </c>
      <c r="F181" s="598" t="s">
        <v>3</v>
      </c>
      <c r="G181" s="599">
        <f>SUM(G182:G184)</f>
        <v>0</v>
      </c>
      <c r="H181" s="599">
        <f>SUM(H182:H184)</f>
        <v>40000</v>
      </c>
      <c r="I181" s="599">
        <f>SUM(I182:I184)</f>
        <v>40000</v>
      </c>
      <c r="J181" s="599">
        <f>SUM(J182:J184)</f>
        <v>40000</v>
      </c>
      <c r="K181" s="599">
        <f>SUM(K182:K184)</f>
        <v>0</v>
      </c>
      <c r="L181" s="1051">
        <f>(J181+K181)/H181</f>
        <v>1</v>
      </c>
      <c r="M181" s="1052">
        <v>0.02</v>
      </c>
      <c r="N181" s="847" t="s">
        <v>2050</v>
      </c>
    </row>
    <row r="182" spans="1:14" x14ac:dyDescent="0.25">
      <c r="A182" s="1055"/>
      <c r="B182" s="847"/>
      <c r="C182" s="846"/>
      <c r="D182" s="846"/>
      <c r="E182" s="1063"/>
      <c r="F182" s="600" t="s">
        <v>179</v>
      </c>
      <c r="G182" s="601">
        <v>0</v>
      </c>
      <c r="H182" s="491">
        <v>1596</v>
      </c>
      <c r="I182" s="491">
        <v>1596</v>
      </c>
      <c r="J182" s="491">
        <v>1596</v>
      </c>
      <c r="K182" s="601">
        <v>0</v>
      </c>
      <c r="L182" s="1051"/>
      <c r="M182" s="1052"/>
      <c r="N182" s="847"/>
    </row>
    <row r="183" spans="1:14" x14ac:dyDescent="0.25">
      <c r="A183" s="1055"/>
      <c r="B183" s="847"/>
      <c r="C183" s="846"/>
      <c r="D183" s="846"/>
      <c r="E183" s="1063"/>
      <c r="F183" s="600" t="s">
        <v>639</v>
      </c>
      <c r="G183" s="601">
        <v>0</v>
      </c>
      <c r="H183" s="491">
        <v>38400</v>
      </c>
      <c r="I183" s="491">
        <v>38400</v>
      </c>
      <c r="J183" s="491">
        <v>38400</v>
      </c>
      <c r="K183" s="601">
        <v>0</v>
      </c>
      <c r="L183" s="1051"/>
      <c r="M183" s="1052"/>
      <c r="N183" s="847"/>
    </row>
    <row r="184" spans="1:14" x14ac:dyDescent="0.25">
      <c r="A184" s="1055"/>
      <c r="B184" s="847"/>
      <c r="C184" s="846"/>
      <c r="D184" s="846"/>
      <c r="E184" s="1063"/>
      <c r="F184" s="600" t="s">
        <v>6</v>
      </c>
      <c r="G184" s="594">
        <v>0</v>
      </c>
      <c r="H184" s="491">
        <v>4</v>
      </c>
      <c r="I184" s="491">
        <v>4</v>
      </c>
      <c r="J184" s="491">
        <v>4</v>
      </c>
      <c r="K184" s="594">
        <v>0</v>
      </c>
      <c r="L184" s="1051"/>
      <c r="M184" s="1052"/>
      <c r="N184" s="847"/>
    </row>
    <row r="185" spans="1:14" ht="22.5" x14ac:dyDescent="0.25">
      <c r="A185" s="1055">
        <v>36</v>
      </c>
      <c r="B185" s="847" t="s">
        <v>2051</v>
      </c>
      <c r="C185" s="846" t="s">
        <v>2052</v>
      </c>
      <c r="D185" s="846" t="s">
        <v>2053</v>
      </c>
      <c r="E185" s="1063">
        <v>667030.30000000005</v>
      </c>
      <c r="F185" s="598" t="s">
        <v>3</v>
      </c>
      <c r="G185" s="599">
        <f>SUM(G186:G188)</f>
        <v>0</v>
      </c>
      <c r="H185" s="599">
        <f>SUM(H186:H188)</f>
        <v>20393.8</v>
      </c>
      <c r="I185" s="599">
        <f>SUM(I186:I188)</f>
        <v>20393.8</v>
      </c>
      <c r="J185" s="599">
        <f>SUM(J186:J188)</f>
        <v>20393.8</v>
      </c>
      <c r="K185" s="599">
        <f>SUM(K186:K188)</f>
        <v>0</v>
      </c>
      <c r="L185" s="1051">
        <f>(J185+K185)/H185</f>
        <v>1</v>
      </c>
      <c r="M185" s="1052">
        <v>0.03</v>
      </c>
      <c r="N185" s="847" t="s">
        <v>2050</v>
      </c>
    </row>
    <row r="186" spans="1:14" x14ac:dyDescent="0.25">
      <c r="A186" s="1055"/>
      <c r="B186" s="847"/>
      <c r="C186" s="846"/>
      <c r="D186" s="846"/>
      <c r="E186" s="1063"/>
      <c r="F186" s="600" t="s">
        <v>179</v>
      </c>
      <c r="G186" s="601">
        <v>0</v>
      </c>
      <c r="H186" s="491">
        <v>20391.8</v>
      </c>
      <c r="I186" s="491">
        <v>20391.8</v>
      </c>
      <c r="J186" s="491">
        <v>20391.8</v>
      </c>
      <c r="K186" s="601">
        <v>0</v>
      </c>
      <c r="L186" s="1051"/>
      <c r="M186" s="1052"/>
      <c r="N186" s="847"/>
    </row>
    <row r="187" spans="1:14" x14ac:dyDescent="0.25">
      <c r="A187" s="1055"/>
      <c r="B187" s="847"/>
      <c r="C187" s="846"/>
      <c r="D187" s="846"/>
      <c r="E187" s="1063"/>
      <c r="F187" s="600" t="s">
        <v>639</v>
      </c>
      <c r="G187" s="601">
        <v>0</v>
      </c>
      <c r="H187" s="491">
        <v>0</v>
      </c>
      <c r="I187" s="491">
        <v>0</v>
      </c>
      <c r="J187" s="491">
        <v>0</v>
      </c>
      <c r="K187" s="601">
        <v>0</v>
      </c>
      <c r="L187" s="1051"/>
      <c r="M187" s="1052"/>
      <c r="N187" s="847"/>
    </row>
    <row r="188" spans="1:14" x14ac:dyDescent="0.25">
      <c r="A188" s="1055"/>
      <c r="B188" s="847"/>
      <c r="C188" s="846"/>
      <c r="D188" s="846"/>
      <c r="E188" s="1063"/>
      <c r="F188" s="600" t="s">
        <v>6</v>
      </c>
      <c r="G188" s="594">
        <v>0</v>
      </c>
      <c r="H188" s="491">
        <v>2</v>
      </c>
      <c r="I188" s="491">
        <v>2</v>
      </c>
      <c r="J188" s="491">
        <v>2</v>
      </c>
      <c r="K188" s="594">
        <v>0</v>
      </c>
      <c r="L188" s="1051"/>
      <c r="M188" s="1052"/>
      <c r="N188" s="847"/>
    </row>
    <row r="189" spans="1:14" ht="22.5" x14ac:dyDescent="0.25">
      <c r="A189" s="1055">
        <v>37</v>
      </c>
      <c r="B189" s="847" t="s">
        <v>2054</v>
      </c>
      <c r="C189" s="846" t="s">
        <v>2055</v>
      </c>
      <c r="D189" s="846" t="s">
        <v>2056</v>
      </c>
      <c r="E189" s="1063">
        <v>414714.7</v>
      </c>
      <c r="F189" s="598" t="s">
        <v>3</v>
      </c>
      <c r="G189" s="599">
        <f>SUM(G190:G192)</f>
        <v>0</v>
      </c>
      <c r="H189" s="599">
        <f>SUM(H190:H192)</f>
        <v>15448</v>
      </c>
      <c r="I189" s="599">
        <f>SUM(I190:I192)</f>
        <v>15448</v>
      </c>
      <c r="J189" s="599">
        <f>SUM(J190:J192)</f>
        <v>15448</v>
      </c>
      <c r="K189" s="599">
        <f>SUM(K190:K192)</f>
        <v>0</v>
      </c>
      <c r="L189" s="1051">
        <f>(J189+K189)/H189</f>
        <v>1</v>
      </c>
      <c r="M189" s="1052">
        <v>0.04</v>
      </c>
      <c r="N189" s="847" t="s">
        <v>2050</v>
      </c>
    </row>
    <row r="190" spans="1:14" x14ac:dyDescent="0.25">
      <c r="A190" s="1055"/>
      <c r="B190" s="847"/>
      <c r="C190" s="846"/>
      <c r="D190" s="846"/>
      <c r="E190" s="1063"/>
      <c r="F190" s="600" t="s">
        <v>179</v>
      </c>
      <c r="G190" s="601">
        <v>0</v>
      </c>
      <c r="H190" s="491">
        <v>15446.5</v>
      </c>
      <c r="I190" s="491">
        <v>15446.5</v>
      </c>
      <c r="J190" s="491">
        <v>15446.5</v>
      </c>
      <c r="K190" s="601">
        <v>0</v>
      </c>
      <c r="L190" s="1051"/>
      <c r="M190" s="1052"/>
      <c r="N190" s="847"/>
    </row>
    <row r="191" spans="1:14" x14ac:dyDescent="0.25">
      <c r="A191" s="1055"/>
      <c r="B191" s="847"/>
      <c r="C191" s="846"/>
      <c r="D191" s="846"/>
      <c r="E191" s="1063"/>
      <c r="F191" s="600" t="s">
        <v>639</v>
      </c>
      <c r="G191" s="601">
        <v>0</v>
      </c>
      <c r="H191" s="491">
        <v>0</v>
      </c>
      <c r="I191" s="491">
        <v>0</v>
      </c>
      <c r="J191" s="491">
        <v>0</v>
      </c>
      <c r="K191" s="601">
        <v>0</v>
      </c>
      <c r="L191" s="1051"/>
      <c r="M191" s="1052"/>
      <c r="N191" s="847"/>
    </row>
    <row r="192" spans="1:14" x14ac:dyDescent="0.25">
      <c r="A192" s="1055"/>
      <c r="B192" s="847"/>
      <c r="C192" s="846"/>
      <c r="D192" s="846"/>
      <c r="E192" s="1063"/>
      <c r="F192" s="600" t="s">
        <v>6</v>
      </c>
      <c r="G192" s="594">
        <v>0</v>
      </c>
      <c r="H192" s="491">
        <v>1.5</v>
      </c>
      <c r="I192" s="491">
        <v>1.5</v>
      </c>
      <c r="J192" s="491">
        <v>1.5</v>
      </c>
      <c r="K192" s="594">
        <v>0</v>
      </c>
      <c r="L192" s="1051"/>
      <c r="M192" s="1052"/>
      <c r="N192" s="847"/>
    </row>
    <row r="193" spans="1:14" ht="22.5" x14ac:dyDescent="0.25">
      <c r="A193" s="1055">
        <v>38</v>
      </c>
      <c r="B193" s="847" t="s">
        <v>2057</v>
      </c>
      <c r="C193" s="846" t="s">
        <v>2058</v>
      </c>
      <c r="D193" s="846" t="s">
        <v>2059</v>
      </c>
      <c r="E193" s="1063">
        <v>776643.1</v>
      </c>
      <c r="F193" s="598" t="s">
        <v>3</v>
      </c>
      <c r="G193" s="599">
        <f>SUM(G194:G196)</f>
        <v>0</v>
      </c>
      <c r="H193" s="599">
        <f t="shared" ref="H193:K193" si="25">SUM(H194:H196)</f>
        <v>16388.699999999997</v>
      </c>
      <c r="I193" s="599">
        <f t="shared" si="25"/>
        <v>16388.599999999999</v>
      </c>
      <c r="J193" s="599">
        <f t="shared" si="25"/>
        <v>16388.599999999999</v>
      </c>
      <c r="K193" s="599">
        <f t="shared" si="25"/>
        <v>0</v>
      </c>
      <c r="L193" s="1051">
        <f>(J193+K193)/H193</f>
        <v>0.99999389823475937</v>
      </c>
      <c r="M193" s="1052">
        <v>0.02</v>
      </c>
      <c r="N193" s="847" t="s">
        <v>2060</v>
      </c>
    </row>
    <row r="194" spans="1:14" x14ac:dyDescent="0.25">
      <c r="A194" s="1055"/>
      <c r="B194" s="847"/>
      <c r="C194" s="846"/>
      <c r="D194" s="846"/>
      <c r="E194" s="1063"/>
      <c r="F194" s="600" t="s">
        <v>179</v>
      </c>
      <c r="G194" s="601">
        <v>0</v>
      </c>
      <c r="H194" s="491">
        <v>16387.099999999999</v>
      </c>
      <c r="I194" s="491">
        <f>J194</f>
        <v>16387.099999999999</v>
      </c>
      <c r="J194" s="491">
        <v>16387.099999999999</v>
      </c>
      <c r="K194" s="601">
        <v>0</v>
      </c>
      <c r="L194" s="1051"/>
      <c r="M194" s="1052"/>
      <c r="N194" s="847"/>
    </row>
    <row r="195" spans="1:14" x14ac:dyDescent="0.25">
      <c r="A195" s="1055"/>
      <c r="B195" s="847"/>
      <c r="C195" s="846"/>
      <c r="D195" s="846"/>
      <c r="E195" s="1063"/>
      <c r="F195" s="600" t="s">
        <v>639</v>
      </c>
      <c r="G195" s="601">
        <v>0</v>
      </c>
      <c r="H195" s="491">
        <v>0</v>
      </c>
      <c r="I195" s="491">
        <v>0</v>
      </c>
      <c r="J195" s="491">
        <v>0</v>
      </c>
      <c r="K195" s="601">
        <v>0</v>
      </c>
      <c r="L195" s="1051"/>
      <c r="M195" s="1052"/>
      <c r="N195" s="847"/>
    </row>
    <row r="196" spans="1:14" x14ac:dyDescent="0.25">
      <c r="A196" s="1055"/>
      <c r="B196" s="847"/>
      <c r="C196" s="846"/>
      <c r="D196" s="846"/>
      <c r="E196" s="1063"/>
      <c r="F196" s="600" t="s">
        <v>6</v>
      </c>
      <c r="G196" s="594">
        <v>0</v>
      </c>
      <c r="H196" s="491">
        <v>1.6</v>
      </c>
      <c r="I196" s="491">
        <v>1.5</v>
      </c>
      <c r="J196" s="491">
        <v>1.5</v>
      </c>
      <c r="K196" s="594">
        <v>0</v>
      </c>
      <c r="L196" s="1051"/>
      <c r="M196" s="1052"/>
      <c r="N196" s="847"/>
    </row>
    <row r="197" spans="1:14" ht="22.5" x14ac:dyDescent="0.25">
      <c r="A197" s="1055">
        <v>39</v>
      </c>
      <c r="B197" s="847" t="s">
        <v>2061</v>
      </c>
      <c r="C197" s="846" t="s">
        <v>2062</v>
      </c>
      <c r="D197" s="846" t="s">
        <v>2056</v>
      </c>
      <c r="E197" s="1063">
        <v>414714.7</v>
      </c>
      <c r="F197" s="598" t="s">
        <v>3</v>
      </c>
      <c r="G197" s="599">
        <f>SUM(G198:G200)</f>
        <v>0</v>
      </c>
      <c r="H197" s="599">
        <f t="shared" ref="H197:K197" si="26">SUM(H198:H200)</f>
        <v>15448</v>
      </c>
      <c r="I197" s="599">
        <f t="shared" si="26"/>
        <v>15448</v>
      </c>
      <c r="J197" s="599">
        <f t="shared" si="26"/>
        <v>15448</v>
      </c>
      <c r="K197" s="599">
        <f t="shared" si="26"/>
        <v>0</v>
      </c>
      <c r="L197" s="1051">
        <f>(J197+K197)/H197</f>
        <v>1</v>
      </c>
      <c r="M197" s="1052">
        <v>0.04</v>
      </c>
      <c r="N197" s="847" t="s">
        <v>2050</v>
      </c>
    </row>
    <row r="198" spans="1:14" x14ac:dyDescent="0.25">
      <c r="A198" s="1055"/>
      <c r="B198" s="847"/>
      <c r="C198" s="846"/>
      <c r="D198" s="846"/>
      <c r="E198" s="1063"/>
      <c r="F198" s="600" t="s">
        <v>179</v>
      </c>
      <c r="G198" s="601">
        <v>0</v>
      </c>
      <c r="H198" s="491">
        <v>15446.5</v>
      </c>
      <c r="I198" s="491">
        <v>15446.5</v>
      </c>
      <c r="J198" s="491">
        <v>15446.5</v>
      </c>
      <c r="K198" s="601">
        <v>0</v>
      </c>
      <c r="L198" s="1051"/>
      <c r="M198" s="1052"/>
      <c r="N198" s="847"/>
    </row>
    <row r="199" spans="1:14" x14ac:dyDescent="0.25">
      <c r="A199" s="1055"/>
      <c r="B199" s="847"/>
      <c r="C199" s="846"/>
      <c r="D199" s="846"/>
      <c r="E199" s="1063"/>
      <c r="F199" s="600" t="s">
        <v>639</v>
      </c>
      <c r="G199" s="601">
        <v>0</v>
      </c>
      <c r="H199" s="491">
        <v>0</v>
      </c>
      <c r="I199" s="491">
        <v>0</v>
      </c>
      <c r="J199" s="491">
        <v>0</v>
      </c>
      <c r="K199" s="601">
        <v>0</v>
      </c>
      <c r="L199" s="1051"/>
      <c r="M199" s="1052"/>
      <c r="N199" s="847"/>
    </row>
    <row r="200" spans="1:14" x14ac:dyDescent="0.25">
      <c r="A200" s="1055"/>
      <c r="B200" s="847"/>
      <c r="C200" s="846"/>
      <c r="D200" s="846"/>
      <c r="E200" s="1063"/>
      <c r="F200" s="600" t="s">
        <v>6</v>
      </c>
      <c r="G200" s="594">
        <v>0</v>
      </c>
      <c r="H200" s="491">
        <v>1.5</v>
      </c>
      <c r="I200" s="491">
        <v>1.5</v>
      </c>
      <c r="J200" s="491">
        <v>1.5</v>
      </c>
      <c r="K200" s="594">
        <v>0</v>
      </c>
      <c r="L200" s="1051"/>
      <c r="M200" s="1052"/>
      <c r="N200" s="847"/>
    </row>
    <row r="201" spans="1:14" ht="22.5" x14ac:dyDescent="0.25">
      <c r="A201" s="1055">
        <v>40</v>
      </c>
      <c r="B201" s="847" t="s">
        <v>2063</v>
      </c>
      <c r="C201" s="846" t="s">
        <v>2064</v>
      </c>
      <c r="D201" s="846" t="s">
        <v>2065</v>
      </c>
      <c r="E201" s="1063">
        <v>781478.8</v>
      </c>
      <c r="F201" s="598" t="s">
        <v>3</v>
      </c>
      <c r="G201" s="599">
        <f>SUM(G202:G204)</f>
        <v>0</v>
      </c>
      <c r="H201" s="599">
        <f t="shared" ref="H201:K201" si="27">SUM(H202:H204)</f>
        <v>21505.1</v>
      </c>
      <c r="I201" s="599">
        <f t="shared" si="27"/>
        <v>21505.1</v>
      </c>
      <c r="J201" s="599">
        <f t="shared" si="27"/>
        <v>21505.1</v>
      </c>
      <c r="K201" s="599">
        <f t="shared" si="27"/>
        <v>0</v>
      </c>
      <c r="L201" s="1051">
        <f>(J201+K201)/H201</f>
        <v>1</v>
      </c>
      <c r="M201" s="1052">
        <v>0.03</v>
      </c>
      <c r="N201" s="847" t="s">
        <v>2050</v>
      </c>
    </row>
    <row r="202" spans="1:14" x14ac:dyDescent="0.25">
      <c r="A202" s="1055"/>
      <c r="B202" s="847"/>
      <c r="C202" s="846"/>
      <c r="D202" s="846"/>
      <c r="E202" s="1063"/>
      <c r="F202" s="600" t="s">
        <v>179</v>
      </c>
      <c r="G202" s="601">
        <v>0</v>
      </c>
      <c r="H202" s="491">
        <v>21503</v>
      </c>
      <c r="I202" s="491">
        <v>21503</v>
      </c>
      <c r="J202" s="491">
        <v>21503</v>
      </c>
      <c r="K202" s="601">
        <v>0</v>
      </c>
      <c r="L202" s="1051"/>
      <c r="M202" s="1052"/>
      <c r="N202" s="847"/>
    </row>
    <row r="203" spans="1:14" x14ac:dyDescent="0.25">
      <c r="A203" s="1055"/>
      <c r="B203" s="847"/>
      <c r="C203" s="846"/>
      <c r="D203" s="846"/>
      <c r="E203" s="1063"/>
      <c r="F203" s="600" t="s">
        <v>639</v>
      </c>
      <c r="G203" s="601">
        <v>0</v>
      </c>
      <c r="H203" s="491">
        <v>0</v>
      </c>
      <c r="I203" s="491">
        <v>0</v>
      </c>
      <c r="J203" s="491">
        <v>0</v>
      </c>
      <c r="K203" s="601">
        <v>0</v>
      </c>
      <c r="L203" s="1051"/>
      <c r="M203" s="1052"/>
      <c r="N203" s="847"/>
    </row>
    <row r="204" spans="1:14" x14ac:dyDescent="0.25">
      <c r="A204" s="1055"/>
      <c r="B204" s="847"/>
      <c r="C204" s="846"/>
      <c r="D204" s="846"/>
      <c r="E204" s="1063"/>
      <c r="F204" s="600" t="s">
        <v>6</v>
      </c>
      <c r="G204" s="594">
        <v>0</v>
      </c>
      <c r="H204" s="491">
        <v>2.1</v>
      </c>
      <c r="I204" s="491">
        <v>2.1</v>
      </c>
      <c r="J204" s="491">
        <v>2.1</v>
      </c>
      <c r="K204" s="594">
        <v>0</v>
      </c>
      <c r="L204" s="1051"/>
      <c r="M204" s="1052"/>
      <c r="N204" s="847"/>
    </row>
    <row r="205" spans="1:14" ht="22.5" x14ac:dyDescent="0.25">
      <c r="A205" s="1055">
        <v>41</v>
      </c>
      <c r="B205" s="847" t="s">
        <v>2066</v>
      </c>
      <c r="C205" s="846" t="s">
        <v>2067</v>
      </c>
      <c r="D205" s="846" t="s">
        <v>2068</v>
      </c>
      <c r="E205" s="1063">
        <v>479748.8</v>
      </c>
      <c r="F205" s="598" t="s">
        <v>3</v>
      </c>
      <c r="G205" s="599">
        <f>SUM(G206:G208)</f>
        <v>0</v>
      </c>
      <c r="H205" s="599">
        <f t="shared" ref="H205:K205" si="28">SUM(H206:H208)</f>
        <v>7805</v>
      </c>
      <c r="I205" s="599">
        <f t="shared" si="28"/>
        <v>7804.9</v>
      </c>
      <c r="J205" s="599">
        <f t="shared" si="28"/>
        <v>7804.9</v>
      </c>
      <c r="K205" s="599">
        <f t="shared" si="28"/>
        <v>0</v>
      </c>
      <c r="L205" s="1051">
        <f>(J205+K205)/H205</f>
        <v>0.99998718770019213</v>
      </c>
      <c r="M205" s="1052">
        <v>0.02</v>
      </c>
      <c r="N205" s="847" t="s">
        <v>2060</v>
      </c>
    </row>
    <row r="206" spans="1:14" x14ac:dyDescent="0.25">
      <c r="A206" s="1055"/>
      <c r="B206" s="847"/>
      <c r="C206" s="846"/>
      <c r="D206" s="846"/>
      <c r="E206" s="1063"/>
      <c r="F206" s="600" t="s">
        <v>179</v>
      </c>
      <c r="G206" s="601">
        <v>0</v>
      </c>
      <c r="H206" s="491">
        <v>7804.2</v>
      </c>
      <c r="I206" s="491">
        <f>J206</f>
        <v>7804.2</v>
      </c>
      <c r="J206" s="491">
        <v>7804.2</v>
      </c>
      <c r="K206" s="601">
        <v>0</v>
      </c>
      <c r="L206" s="1051"/>
      <c r="M206" s="1052"/>
      <c r="N206" s="847"/>
    </row>
    <row r="207" spans="1:14" x14ac:dyDescent="0.25">
      <c r="A207" s="1055"/>
      <c r="B207" s="847"/>
      <c r="C207" s="846"/>
      <c r="D207" s="846"/>
      <c r="E207" s="1063"/>
      <c r="F207" s="600" t="s">
        <v>639</v>
      </c>
      <c r="G207" s="601">
        <v>0</v>
      </c>
      <c r="H207" s="491">
        <v>0</v>
      </c>
      <c r="I207" s="491">
        <v>0</v>
      </c>
      <c r="J207" s="491">
        <v>0</v>
      </c>
      <c r="K207" s="601">
        <v>0</v>
      </c>
      <c r="L207" s="1051"/>
      <c r="M207" s="1052"/>
      <c r="N207" s="847"/>
    </row>
    <row r="208" spans="1:14" x14ac:dyDescent="0.25">
      <c r="A208" s="1055"/>
      <c r="B208" s="847"/>
      <c r="C208" s="846"/>
      <c r="D208" s="846"/>
      <c r="E208" s="1063"/>
      <c r="F208" s="600" t="s">
        <v>6</v>
      </c>
      <c r="G208" s="594">
        <v>0</v>
      </c>
      <c r="H208" s="491">
        <v>0.8</v>
      </c>
      <c r="I208" s="491">
        <v>0.7</v>
      </c>
      <c r="J208" s="491">
        <v>0.7</v>
      </c>
      <c r="K208" s="594">
        <v>0</v>
      </c>
      <c r="L208" s="1051"/>
      <c r="M208" s="1052"/>
      <c r="N208" s="847"/>
    </row>
    <row r="209" spans="1:14" x14ac:dyDescent="0.25">
      <c r="A209" s="1066">
        <v>42</v>
      </c>
      <c r="B209" s="1042" t="s">
        <v>989</v>
      </c>
      <c r="C209" s="1042" t="s">
        <v>985</v>
      </c>
      <c r="D209" s="1042" t="s">
        <v>2069</v>
      </c>
      <c r="E209" s="1067">
        <v>128295.51535</v>
      </c>
      <c r="F209" s="595" t="s">
        <v>3</v>
      </c>
      <c r="G209" s="596">
        <f>SUM(G210:G213)</f>
        <v>68148.399999999994</v>
      </c>
      <c r="H209" s="596">
        <f t="shared" ref="H209:K209" si="29">SUM(H210:H213)</f>
        <v>60147.10817</v>
      </c>
      <c r="I209" s="603">
        <f t="shared" si="29"/>
        <v>60147.10817</v>
      </c>
      <c r="J209" s="603">
        <f t="shared" si="29"/>
        <v>1978.783199999998</v>
      </c>
      <c r="K209" s="603">
        <f t="shared" si="29"/>
        <v>58168.324970000001</v>
      </c>
      <c r="L209" s="1047">
        <f>(J209+K209)/H209</f>
        <v>1</v>
      </c>
      <c r="M209" s="1047">
        <v>1</v>
      </c>
      <c r="N209" s="1064" t="s">
        <v>2070</v>
      </c>
    </row>
    <row r="210" spans="1:14" x14ac:dyDescent="0.25">
      <c r="A210" s="1066"/>
      <c r="B210" s="1042"/>
      <c r="C210" s="1042"/>
      <c r="D210" s="1042"/>
      <c r="E210" s="1067"/>
      <c r="F210" s="597" t="s">
        <v>179</v>
      </c>
      <c r="G210" s="563">
        <v>7473.5</v>
      </c>
      <c r="H210" s="563">
        <v>56702.471010000001</v>
      </c>
      <c r="I210" s="594">
        <v>56702.471010000001</v>
      </c>
      <c r="J210" s="594">
        <f>I210-K210</f>
        <v>1978.783199999998</v>
      </c>
      <c r="K210" s="594">
        <v>54723.687810000003</v>
      </c>
      <c r="L210" s="1047"/>
      <c r="M210" s="1047"/>
      <c r="N210" s="1064"/>
    </row>
    <row r="211" spans="1:14" x14ac:dyDescent="0.25">
      <c r="A211" s="1066"/>
      <c r="B211" s="1042"/>
      <c r="C211" s="1042"/>
      <c r="D211" s="1042"/>
      <c r="E211" s="1067"/>
      <c r="F211" s="597" t="s">
        <v>639</v>
      </c>
      <c r="G211" s="563">
        <v>60674.9</v>
      </c>
      <c r="H211" s="563">
        <v>3444.6371600000002</v>
      </c>
      <c r="I211" s="594">
        <v>3444.6371600000002</v>
      </c>
      <c r="J211" s="594">
        <v>0</v>
      </c>
      <c r="K211" s="594">
        <v>3444.6371600000002</v>
      </c>
      <c r="L211" s="1047"/>
      <c r="M211" s="1047"/>
      <c r="N211" s="1064"/>
    </row>
    <row r="212" spans="1:14" x14ac:dyDescent="0.25">
      <c r="A212" s="1066"/>
      <c r="B212" s="1042"/>
      <c r="C212" s="1042"/>
      <c r="D212" s="1042"/>
      <c r="E212" s="1067"/>
      <c r="F212" s="597" t="s">
        <v>6</v>
      </c>
      <c r="G212" s="563">
        <v>0</v>
      </c>
      <c r="H212" s="563">
        <v>0</v>
      </c>
      <c r="I212" s="594">
        <v>0</v>
      </c>
      <c r="J212" s="594">
        <v>0</v>
      </c>
      <c r="K212" s="594">
        <v>0</v>
      </c>
      <c r="L212" s="1047"/>
      <c r="M212" s="1047"/>
      <c r="N212" s="1064"/>
    </row>
    <row r="213" spans="1:14" x14ac:dyDescent="0.25">
      <c r="A213" s="1066"/>
      <c r="B213" s="1042"/>
      <c r="C213" s="1042"/>
      <c r="D213" s="1042"/>
      <c r="E213" s="1067"/>
      <c r="F213" s="597" t="s">
        <v>7</v>
      </c>
      <c r="G213" s="563">
        <v>0</v>
      </c>
      <c r="H213" s="563">
        <v>0</v>
      </c>
      <c r="I213" s="594">
        <v>0</v>
      </c>
      <c r="J213" s="594">
        <v>0</v>
      </c>
      <c r="K213" s="594">
        <v>0</v>
      </c>
      <c r="L213" s="1047"/>
      <c r="M213" s="1047"/>
      <c r="N213" s="1064"/>
    </row>
    <row r="214" spans="1:14" x14ac:dyDescent="0.25">
      <c r="A214" s="1065">
        <v>43</v>
      </c>
      <c r="B214" s="1042" t="s">
        <v>990</v>
      </c>
      <c r="C214" s="1042" t="s">
        <v>985</v>
      </c>
      <c r="D214" s="1042" t="s">
        <v>2071</v>
      </c>
      <c r="E214" s="1044">
        <v>32615.1</v>
      </c>
      <c r="F214" s="595" t="s">
        <v>3</v>
      </c>
      <c r="G214" s="596">
        <f>SUM(G215:G218)</f>
        <v>29445.5</v>
      </c>
      <c r="H214" s="596">
        <f t="shared" ref="H214:K214" si="30">SUM(H215:H218)</f>
        <v>4916.3999999999996</v>
      </c>
      <c r="I214" s="603">
        <f t="shared" si="30"/>
        <v>3169.5998500000001</v>
      </c>
      <c r="J214" s="603">
        <f t="shared" si="30"/>
        <v>0</v>
      </c>
      <c r="K214" s="603">
        <f t="shared" si="30"/>
        <v>3169.5998500000001</v>
      </c>
      <c r="L214" s="1047">
        <f>(J214+K214)/H214</f>
        <v>0.64469934301521448</v>
      </c>
      <c r="M214" s="1047">
        <v>1</v>
      </c>
      <c r="N214" s="1064" t="s">
        <v>2072</v>
      </c>
    </row>
    <row r="215" spans="1:14" x14ac:dyDescent="0.25">
      <c r="A215" s="1065"/>
      <c r="B215" s="1042"/>
      <c r="C215" s="1042"/>
      <c r="D215" s="1042"/>
      <c r="E215" s="1044"/>
      <c r="F215" s="597" t="s">
        <v>179</v>
      </c>
      <c r="G215" s="563">
        <v>29445.5</v>
      </c>
      <c r="H215" s="563">
        <v>4916.3999999999996</v>
      </c>
      <c r="I215" s="594">
        <f>SUM(J215:K215)</f>
        <v>3169.5998500000001</v>
      </c>
      <c r="J215" s="594">
        <v>0</v>
      </c>
      <c r="K215" s="594">
        <v>3169.5998500000001</v>
      </c>
      <c r="L215" s="1047"/>
      <c r="M215" s="1047"/>
      <c r="N215" s="1064"/>
    </row>
    <row r="216" spans="1:14" x14ac:dyDescent="0.25">
      <c r="A216" s="1065"/>
      <c r="B216" s="1042"/>
      <c r="C216" s="1042"/>
      <c r="D216" s="1042"/>
      <c r="E216" s="1044"/>
      <c r="F216" s="597" t="s">
        <v>639</v>
      </c>
      <c r="G216" s="563">
        <v>0</v>
      </c>
      <c r="H216" s="563">
        <v>0</v>
      </c>
      <c r="I216" s="594">
        <v>0</v>
      </c>
      <c r="J216" s="594">
        <v>0</v>
      </c>
      <c r="K216" s="594">
        <v>0</v>
      </c>
      <c r="L216" s="1047"/>
      <c r="M216" s="1047"/>
      <c r="N216" s="1064"/>
    </row>
    <row r="217" spans="1:14" x14ac:dyDescent="0.25">
      <c r="A217" s="1065"/>
      <c r="B217" s="1042"/>
      <c r="C217" s="1042"/>
      <c r="D217" s="1042"/>
      <c r="E217" s="1044"/>
      <c r="F217" s="597" t="s">
        <v>6</v>
      </c>
      <c r="G217" s="563">
        <v>0</v>
      </c>
      <c r="H217" s="563">
        <v>0</v>
      </c>
      <c r="I217" s="594">
        <v>0</v>
      </c>
      <c r="J217" s="594">
        <v>0</v>
      </c>
      <c r="K217" s="594">
        <v>0</v>
      </c>
      <c r="L217" s="1047"/>
      <c r="M217" s="1047"/>
      <c r="N217" s="1064"/>
    </row>
    <row r="218" spans="1:14" x14ac:dyDescent="0.25">
      <c r="A218" s="1065"/>
      <c r="B218" s="1042"/>
      <c r="C218" s="1042"/>
      <c r="D218" s="1042"/>
      <c r="E218" s="1044"/>
      <c r="F218" s="597" t="s">
        <v>7</v>
      </c>
      <c r="G218" s="563">
        <v>0</v>
      </c>
      <c r="H218" s="563">
        <v>0</v>
      </c>
      <c r="I218" s="594">
        <v>0</v>
      </c>
      <c r="J218" s="594">
        <v>0</v>
      </c>
      <c r="K218" s="594">
        <v>0</v>
      </c>
      <c r="L218" s="1047"/>
      <c r="M218" s="1047"/>
      <c r="N218" s="1064"/>
    </row>
    <row r="219" spans="1:14" x14ac:dyDescent="0.25">
      <c r="A219" s="1065">
        <v>44</v>
      </c>
      <c r="B219" s="1042" t="s">
        <v>991</v>
      </c>
      <c r="C219" s="1042" t="s">
        <v>985</v>
      </c>
      <c r="D219" s="1042" t="s">
        <v>2073</v>
      </c>
      <c r="E219" s="1044">
        <v>145888.03205000001</v>
      </c>
      <c r="F219" s="604" t="s">
        <v>3</v>
      </c>
      <c r="G219" s="603">
        <f>SUM(G220:G223)</f>
        <v>78382.399999999994</v>
      </c>
      <c r="H219" s="603">
        <f t="shared" ref="H219:K219" si="31">SUM(H220:H223)</f>
        <v>67505.600000000006</v>
      </c>
      <c r="I219" s="603">
        <f t="shared" si="31"/>
        <v>94.535499999999999</v>
      </c>
      <c r="J219" s="603">
        <f t="shared" si="31"/>
        <v>0</v>
      </c>
      <c r="K219" s="603">
        <f t="shared" si="31"/>
        <v>94.535499999999999</v>
      </c>
      <c r="L219" s="1047">
        <f>(J219+K219)/I219</f>
        <v>1</v>
      </c>
      <c r="M219" s="1047">
        <v>0</v>
      </c>
      <c r="N219" s="1064" t="s">
        <v>2074</v>
      </c>
    </row>
    <row r="220" spans="1:14" x14ac:dyDescent="0.25">
      <c r="A220" s="1065"/>
      <c r="B220" s="1042"/>
      <c r="C220" s="1042"/>
      <c r="D220" s="1042"/>
      <c r="E220" s="1044"/>
      <c r="F220" s="597" t="s">
        <v>179</v>
      </c>
      <c r="G220" s="563">
        <v>13587.300000000001</v>
      </c>
      <c r="H220" s="563">
        <v>67505.600000000006</v>
      </c>
      <c r="I220" s="563">
        <v>94.535499999999999</v>
      </c>
      <c r="J220" s="563">
        <v>0</v>
      </c>
      <c r="K220" s="563">
        <v>94.535499999999999</v>
      </c>
      <c r="L220" s="1047"/>
      <c r="M220" s="1047"/>
      <c r="N220" s="1064"/>
    </row>
    <row r="221" spans="1:14" x14ac:dyDescent="0.25">
      <c r="A221" s="1065"/>
      <c r="B221" s="1042"/>
      <c r="C221" s="1042"/>
      <c r="D221" s="1042"/>
      <c r="E221" s="1044"/>
      <c r="F221" s="597" t="s">
        <v>639</v>
      </c>
      <c r="G221" s="563">
        <v>64795.1</v>
      </c>
      <c r="H221" s="563">
        <v>0</v>
      </c>
      <c r="I221" s="563">
        <v>0</v>
      </c>
      <c r="J221" s="563">
        <v>0</v>
      </c>
      <c r="K221" s="563">
        <v>0</v>
      </c>
      <c r="L221" s="1047"/>
      <c r="M221" s="1047"/>
      <c r="N221" s="1064"/>
    </row>
    <row r="222" spans="1:14" x14ac:dyDescent="0.25">
      <c r="A222" s="1065"/>
      <c r="B222" s="1042"/>
      <c r="C222" s="1042"/>
      <c r="D222" s="1042"/>
      <c r="E222" s="1044"/>
      <c r="F222" s="597" t="s">
        <v>6</v>
      </c>
      <c r="G222" s="563">
        <v>0</v>
      </c>
      <c r="H222" s="563">
        <v>0</v>
      </c>
      <c r="I222" s="563">
        <v>0</v>
      </c>
      <c r="J222" s="563">
        <v>0</v>
      </c>
      <c r="K222" s="563">
        <v>0</v>
      </c>
      <c r="L222" s="1047"/>
      <c r="M222" s="1047"/>
      <c r="N222" s="1064"/>
    </row>
    <row r="223" spans="1:14" x14ac:dyDescent="0.25">
      <c r="A223" s="1065"/>
      <c r="B223" s="1042"/>
      <c r="C223" s="1042"/>
      <c r="D223" s="1042"/>
      <c r="E223" s="1044"/>
      <c r="F223" s="597" t="s">
        <v>7</v>
      </c>
      <c r="G223" s="563">
        <v>0</v>
      </c>
      <c r="H223" s="563">
        <v>0</v>
      </c>
      <c r="I223" s="563">
        <v>0</v>
      </c>
      <c r="J223" s="563">
        <v>0</v>
      </c>
      <c r="K223" s="563"/>
      <c r="L223" s="1047"/>
      <c r="M223" s="1047"/>
      <c r="N223" s="1064"/>
    </row>
    <row r="224" spans="1:14" x14ac:dyDescent="0.25">
      <c r="A224" s="1066">
        <v>45</v>
      </c>
      <c r="B224" s="1042" t="s">
        <v>1196</v>
      </c>
      <c r="C224" s="1042" t="s">
        <v>985</v>
      </c>
      <c r="D224" s="1042" t="s">
        <v>2075</v>
      </c>
      <c r="E224" s="1067">
        <v>651502.9</v>
      </c>
      <c r="F224" s="595" t="s">
        <v>3</v>
      </c>
      <c r="G224" s="596">
        <f>SUM(G225:G228)</f>
        <v>311837.59999999998</v>
      </c>
      <c r="H224" s="596">
        <f t="shared" ref="H224:K224" si="32">SUM(H225:H228)</f>
        <v>312127.56776000001</v>
      </c>
      <c r="I224" s="596">
        <f t="shared" si="32"/>
        <v>312127.56776000001</v>
      </c>
      <c r="J224" s="596">
        <f t="shared" si="32"/>
        <v>312127.56776000001</v>
      </c>
      <c r="K224" s="596">
        <f t="shared" si="32"/>
        <v>0</v>
      </c>
      <c r="L224" s="1047">
        <f>(J224+K224)/H224</f>
        <v>1</v>
      </c>
      <c r="M224" s="1047">
        <v>0.77</v>
      </c>
      <c r="N224" s="1064" t="s">
        <v>2076</v>
      </c>
    </row>
    <row r="225" spans="1:14" x14ac:dyDescent="0.25">
      <c r="A225" s="1066"/>
      <c r="B225" s="1042"/>
      <c r="C225" s="1042"/>
      <c r="D225" s="1042"/>
      <c r="E225" s="1067"/>
      <c r="F225" s="597" t="s">
        <v>179</v>
      </c>
      <c r="G225" s="563">
        <v>73913</v>
      </c>
      <c r="H225" s="563">
        <v>70758.167759999997</v>
      </c>
      <c r="I225" s="563">
        <v>70758.167759999997</v>
      </c>
      <c r="J225" s="563">
        <v>70758.167759999997</v>
      </c>
      <c r="K225" s="563">
        <v>0</v>
      </c>
      <c r="L225" s="1047"/>
      <c r="M225" s="1047"/>
      <c r="N225" s="1064"/>
    </row>
    <row r="226" spans="1:14" x14ac:dyDescent="0.25">
      <c r="A226" s="1066"/>
      <c r="B226" s="1042"/>
      <c r="C226" s="1042"/>
      <c r="D226" s="1042"/>
      <c r="E226" s="1067"/>
      <c r="F226" s="597" t="s">
        <v>639</v>
      </c>
      <c r="G226" s="563">
        <v>237924.6</v>
      </c>
      <c r="H226" s="563">
        <v>241369.4</v>
      </c>
      <c r="I226" s="563">
        <v>241369.4</v>
      </c>
      <c r="J226" s="563">
        <v>241369.4</v>
      </c>
      <c r="K226" s="563">
        <v>0</v>
      </c>
      <c r="L226" s="1047"/>
      <c r="M226" s="1047"/>
      <c r="N226" s="1064"/>
    </row>
    <row r="227" spans="1:14" x14ac:dyDescent="0.25">
      <c r="A227" s="1066"/>
      <c r="B227" s="1042"/>
      <c r="C227" s="1042"/>
      <c r="D227" s="1042"/>
      <c r="E227" s="1067"/>
      <c r="F227" s="597" t="s">
        <v>6</v>
      </c>
      <c r="G227" s="563">
        <v>0</v>
      </c>
      <c r="H227" s="563">
        <v>0</v>
      </c>
      <c r="I227" s="563">
        <v>0</v>
      </c>
      <c r="J227" s="563">
        <v>0</v>
      </c>
      <c r="K227" s="563">
        <v>0</v>
      </c>
      <c r="L227" s="1047"/>
      <c r="M227" s="1047"/>
      <c r="N227" s="1064"/>
    </row>
    <row r="228" spans="1:14" x14ac:dyDescent="0.25">
      <c r="A228" s="1066"/>
      <c r="B228" s="1042"/>
      <c r="C228" s="1042"/>
      <c r="D228" s="1042"/>
      <c r="E228" s="1067"/>
      <c r="F228" s="597" t="s">
        <v>7</v>
      </c>
      <c r="G228" s="563">
        <v>0</v>
      </c>
      <c r="H228" s="563">
        <v>0</v>
      </c>
      <c r="I228" s="563">
        <v>0</v>
      </c>
      <c r="J228" s="563">
        <v>0</v>
      </c>
      <c r="K228" s="563">
        <v>0</v>
      </c>
      <c r="L228" s="1047"/>
      <c r="M228" s="1047"/>
      <c r="N228" s="1064"/>
    </row>
    <row r="229" spans="1:14" x14ac:dyDescent="0.25">
      <c r="A229" s="1065">
        <v>46</v>
      </c>
      <c r="B229" s="1042" t="s">
        <v>1539</v>
      </c>
      <c r="C229" s="1042" t="s">
        <v>985</v>
      </c>
      <c r="D229" s="1042" t="s">
        <v>2077</v>
      </c>
      <c r="E229" s="1044">
        <v>1184204.8</v>
      </c>
      <c r="F229" s="595" t="s">
        <v>3</v>
      </c>
      <c r="G229" s="596">
        <f>SUM(G230:G233)</f>
        <v>507211.8</v>
      </c>
      <c r="H229" s="596">
        <f t="shared" ref="H229:K229" si="33">SUM(H230:H233)</f>
        <v>136377.70000000001</v>
      </c>
      <c r="I229" s="596">
        <f t="shared" si="33"/>
        <v>130947.83227000001</v>
      </c>
      <c r="J229" s="596">
        <f t="shared" si="33"/>
        <v>121004.49455</v>
      </c>
      <c r="K229" s="596">
        <f t="shared" si="33"/>
        <v>9943.3377199999995</v>
      </c>
      <c r="L229" s="1047">
        <f>(J229+K229)/H229</f>
        <v>0.96018507622580518</v>
      </c>
      <c r="M229" s="1068">
        <v>4.4999999999999998E-2</v>
      </c>
      <c r="N229" s="1064" t="s">
        <v>2078</v>
      </c>
    </row>
    <row r="230" spans="1:14" x14ac:dyDescent="0.25">
      <c r="A230" s="1065"/>
      <c r="B230" s="1042"/>
      <c r="C230" s="1042"/>
      <c r="D230" s="1042"/>
      <c r="E230" s="1044"/>
      <c r="F230" s="597" t="s">
        <v>179</v>
      </c>
      <c r="G230" s="563">
        <v>499008.2</v>
      </c>
      <c r="H230" s="563">
        <v>21893.1</v>
      </c>
      <c r="I230" s="563">
        <v>16463.23227</v>
      </c>
      <c r="J230" s="563">
        <f>I230-K230</f>
        <v>6519.8945500000009</v>
      </c>
      <c r="K230" s="563">
        <v>9943.3377199999995</v>
      </c>
      <c r="L230" s="1047"/>
      <c r="M230" s="1068"/>
      <c r="N230" s="1064"/>
    </row>
    <row r="231" spans="1:14" x14ac:dyDescent="0.25">
      <c r="A231" s="1065"/>
      <c r="B231" s="1042"/>
      <c r="C231" s="1042"/>
      <c r="D231" s="1042"/>
      <c r="E231" s="1044"/>
      <c r="F231" s="597" t="s">
        <v>639</v>
      </c>
      <c r="G231" s="563">
        <v>8203.6</v>
      </c>
      <c r="H231" s="563">
        <v>114484.6</v>
      </c>
      <c r="I231" s="563">
        <v>114484.6</v>
      </c>
      <c r="J231" s="563">
        <v>114484.6</v>
      </c>
      <c r="K231" s="563">
        <v>0</v>
      </c>
      <c r="L231" s="1047"/>
      <c r="M231" s="1068"/>
      <c r="N231" s="1064"/>
    </row>
    <row r="232" spans="1:14" x14ac:dyDescent="0.25">
      <c r="A232" s="1065"/>
      <c r="B232" s="1042"/>
      <c r="C232" s="1042"/>
      <c r="D232" s="1042"/>
      <c r="E232" s="1044"/>
      <c r="F232" s="597" t="s">
        <v>6</v>
      </c>
      <c r="G232" s="563">
        <v>0</v>
      </c>
      <c r="H232" s="563">
        <v>0</v>
      </c>
      <c r="I232" s="563">
        <v>0</v>
      </c>
      <c r="J232" s="563">
        <v>0</v>
      </c>
      <c r="K232" s="563">
        <v>0</v>
      </c>
      <c r="L232" s="1047"/>
      <c r="M232" s="1068"/>
      <c r="N232" s="1064"/>
    </row>
    <row r="233" spans="1:14" x14ac:dyDescent="0.25">
      <c r="A233" s="1065"/>
      <c r="B233" s="1042"/>
      <c r="C233" s="1042"/>
      <c r="D233" s="1042"/>
      <c r="E233" s="1044"/>
      <c r="F233" s="597" t="s">
        <v>7</v>
      </c>
      <c r="G233" s="563">
        <v>0</v>
      </c>
      <c r="H233" s="563">
        <v>0</v>
      </c>
      <c r="I233" s="563">
        <v>0</v>
      </c>
      <c r="J233" s="563">
        <v>0</v>
      </c>
      <c r="K233" s="563">
        <v>0</v>
      </c>
      <c r="L233" s="1047"/>
      <c r="M233" s="1068"/>
      <c r="N233" s="1064"/>
    </row>
    <row r="234" spans="1:14" x14ac:dyDescent="0.25">
      <c r="A234" s="1065">
        <v>47</v>
      </c>
      <c r="B234" s="1042" t="s">
        <v>1197</v>
      </c>
      <c r="C234" s="1042" t="s">
        <v>985</v>
      </c>
      <c r="D234" s="1042" t="s">
        <v>2079</v>
      </c>
      <c r="E234" s="1067">
        <v>222432.5</v>
      </c>
      <c r="F234" s="604" t="s">
        <v>3</v>
      </c>
      <c r="G234" s="603">
        <f>SUM(G235:G238)</f>
        <v>99154.900000000009</v>
      </c>
      <c r="H234" s="603">
        <f t="shared" ref="H234:K234" si="34">SUM(H235:H238)</f>
        <v>124637.1964</v>
      </c>
      <c r="I234" s="603">
        <f t="shared" si="34"/>
        <v>123277.46473000001</v>
      </c>
      <c r="J234" s="603">
        <f t="shared" si="34"/>
        <v>439.54552999999942</v>
      </c>
      <c r="K234" s="603">
        <f t="shared" si="34"/>
        <v>122837.9192</v>
      </c>
      <c r="L234" s="1047">
        <f>(J234+K234)/H234</f>
        <v>0.98909048254233678</v>
      </c>
      <c r="M234" s="1047">
        <v>1</v>
      </c>
      <c r="N234" s="1064" t="s">
        <v>2080</v>
      </c>
    </row>
    <row r="235" spans="1:14" x14ac:dyDescent="0.25">
      <c r="A235" s="1065"/>
      <c r="B235" s="1042"/>
      <c r="C235" s="1042"/>
      <c r="D235" s="1042"/>
      <c r="E235" s="1067"/>
      <c r="F235" s="597" t="s">
        <v>179</v>
      </c>
      <c r="G235" s="563">
        <v>12770.1</v>
      </c>
      <c r="H235" s="563">
        <v>24051.5</v>
      </c>
      <c r="I235" s="563">
        <v>22691.768329999999</v>
      </c>
      <c r="J235" s="594">
        <f>I235-K235</f>
        <v>439.54552999999942</v>
      </c>
      <c r="K235" s="594">
        <v>22252.2228</v>
      </c>
      <c r="L235" s="1047"/>
      <c r="M235" s="1047"/>
      <c r="N235" s="1064"/>
    </row>
    <row r="236" spans="1:14" x14ac:dyDescent="0.25">
      <c r="A236" s="1065"/>
      <c r="B236" s="1042"/>
      <c r="C236" s="1042"/>
      <c r="D236" s="1042"/>
      <c r="E236" s="1067"/>
      <c r="F236" s="597" t="s">
        <v>639</v>
      </c>
      <c r="G236" s="563">
        <v>86384.8</v>
      </c>
      <c r="H236" s="563">
        <v>100585.6964</v>
      </c>
      <c r="I236" s="563">
        <v>100585.6964</v>
      </c>
      <c r="J236" s="594">
        <v>0</v>
      </c>
      <c r="K236" s="594">
        <v>100585.6964</v>
      </c>
      <c r="L236" s="1047"/>
      <c r="M236" s="1047"/>
      <c r="N236" s="1064"/>
    </row>
    <row r="237" spans="1:14" x14ac:dyDescent="0.25">
      <c r="A237" s="1065"/>
      <c r="B237" s="1042"/>
      <c r="C237" s="1042"/>
      <c r="D237" s="1042"/>
      <c r="E237" s="1067"/>
      <c r="F237" s="597" t="s">
        <v>6</v>
      </c>
      <c r="G237" s="563">
        <v>0</v>
      </c>
      <c r="H237" s="563">
        <v>0</v>
      </c>
      <c r="I237" s="563">
        <v>0</v>
      </c>
      <c r="J237" s="594">
        <v>0</v>
      </c>
      <c r="K237" s="594">
        <v>0</v>
      </c>
      <c r="L237" s="1047"/>
      <c r="M237" s="1047"/>
      <c r="N237" s="1064"/>
    </row>
    <row r="238" spans="1:14" x14ac:dyDescent="0.25">
      <c r="A238" s="1065"/>
      <c r="B238" s="1042"/>
      <c r="C238" s="1042"/>
      <c r="D238" s="1042"/>
      <c r="E238" s="1067"/>
      <c r="F238" s="597" t="s">
        <v>7</v>
      </c>
      <c r="G238" s="563">
        <v>0</v>
      </c>
      <c r="H238" s="563">
        <v>0</v>
      </c>
      <c r="I238" s="563">
        <v>0</v>
      </c>
      <c r="J238" s="594">
        <v>0</v>
      </c>
      <c r="K238" s="594">
        <v>0</v>
      </c>
      <c r="L238" s="1047"/>
      <c r="M238" s="1047"/>
      <c r="N238" s="1064"/>
    </row>
    <row r="239" spans="1:14" x14ac:dyDescent="0.25">
      <c r="A239" s="1066">
        <v>48</v>
      </c>
      <c r="B239" s="1042" t="s">
        <v>1198</v>
      </c>
      <c r="C239" s="1042" t="s">
        <v>985</v>
      </c>
      <c r="D239" s="1042" t="s">
        <v>2081</v>
      </c>
      <c r="E239" s="1044">
        <v>5194.71</v>
      </c>
      <c r="F239" s="604" t="s">
        <v>3</v>
      </c>
      <c r="G239" s="603">
        <f>SUM(G240:G243)</f>
        <v>5194.7</v>
      </c>
      <c r="H239" s="603">
        <f t="shared" ref="H239:K239" si="35">SUM(H240:H243)</f>
        <v>0</v>
      </c>
      <c r="I239" s="603">
        <f t="shared" si="35"/>
        <v>0</v>
      </c>
      <c r="J239" s="603">
        <f t="shared" si="35"/>
        <v>0</v>
      </c>
      <c r="K239" s="603">
        <f t="shared" si="35"/>
        <v>0</v>
      </c>
      <c r="L239" s="1047">
        <v>0</v>
      </c>
      <c r="M239" s="1047">
        <v>0</v>
      </c>
      <c r="N239" s="1064" t="s">
        <v>2082</v>
      </c>
    </row>
    <row r="240" spans="1:14" x14ac:dyDescent="0.25">
      <c r="A240" s="1066"/>
      <c r="B240" s="1042"/>
      <c r="C240" s="1042"/>
      <c r="D240" s="1042"/>
      <c r="E240" s="1044"/>
      <c r="F240" s="600" t="s">
        <v>179</v>
      </c>
      <c r="G240" s="594">
        <v>5194.7</v>
      </c>
      <c r="H240" s="594">
        <v>0</v>
      </c>
      <c r="I240" s="594">
        <v>0</v>
      </c>
      <c r="J240" s="594">
        <v>0</v>
      </c>
      <c r="K240" s="594">
        <v>0</v>
      </c>
      <c r="L240" s="1047"/>
      <c r="M240" s="1047"/>
      <c r="N240" s="1064"/>
    </row>
    <row r="241" spans="1:14" x14ac:dyDescent="0.25">
      <c r="A241" s="1066"/>
      <c r="B241" s="1042"/>
      <c r="C241" s="1042"/>
      <c r="D241" s="1042"/>
      <c r="E241" s="1044"/>
      <c r="F241" s="600" t="s">
        <v>639</v>
      </c>
      <c r="G241" s="594">
        <v>0</v>
      </c>
      <c r="H241" s="594">
        <v>0</v>
      </c>
      <c r="I241" s="594">
        <v>0</v>
      </c>
      <c r="J241" s="594">
        <v>0</v>
      </c>
      <c r="K241" s="594">
        <v>0</v>
      </c>
      <c r="L241" s="1047"/>
      <c r="M241" s="1047"/>
      <c r="N241" s="1064"/>
    </row>
    <row r="242" spans="1:14" x14ac:dyDescent="0.25">
      <c r="A242" s="1066"/>
      <c r="B242" s="1042"/>
      <c r="C242" s="1042"/>
      <c r="D242" s="1042"/>
      <c r="E242" s="1044"/>
      <c r="F242" s="600" t="s">
        <v>6</v>
      </c>
      <c r="G242" s="594">
        <v>0</v>
      </c>
      <c r="H242" s="594">
        <v>0</v>
      </c>
      <c r="I242" s="594">
        <v>0</v>
      </c>
      <c r="J242" s="594">
        <v>0</v>
      </c>
      <c r="K242" s="594">
        <v>0</v>
      </c>
      <c r="L242" s="1047"/>
      <c r="M242" s="1047"/>
      <c r="N242" s="1064"/>
    </row>
    <row r="243" spans="1:14" x14ac:dyDescent="0.25">
      <c r="A243" s="1066"/>
      <c r="B243" s="1042"/>
      <c r="C243" s="1042"/>
      <c r="D243" s="1042"/>
      <c r="E243" s="1044"/>
      <c r="F243" s="600" t="s">
        <v>7</v>
      </c>
      <c r="G243" s="594">
        <v>0</v>
      </c>
      <c r="H243" s="594">
        <v>0</v>
      </c>
      <c r="I243" s="594">
        <v>0</v>
      </c>
      <c r="J243" s="594">
        <v>0</v>
      </c>
      <c r="K243" s="594">
        <v>0</v>
      </c>
      <c r="L243" s="1047"/>
      <c r="M243" s="1047"/>
      <c r="N243" s="1064"/>
    </row>
    <row r="244" spans="1:14" x14ac:dyDescent="0.25">
      <c r="A244" s="1066">
        <v>49</v>
      </c>
      <c r="B244" s="1042" t="s">
        <v>1199</v>
      </c>
      <c r="C244" s="1042" t="s">
        <v>985</v>
      </c>
      <c r="D244" s="1042" t="s">
        <v>2083</v>
      </c>
      <c r="E244" s="1044">
        <v>977804.1</v>
      </c>
      <c r="F244" s="595" t="s">
        <v>3</v>
      </c>
      <c r="G244" s="596">
        <f>SUM(G245:G248)</f>
        <v>288385.59999999998</v>
      </c>
      <c r="H244" s="603">
        <f t="shared" ref="H244:K244" si="36">SUM(H245:H248)</f>
        <v>513406.3</v>
      </c>
      <c r="I244" s="603">
        <f t="shared" si="36"/>
        <v>513406.3</v>
      </c>
      <c r="J244" s="603">
        <f t="shared" si="36"/>
        <v>513406.3</v>
      </c>
      <c r="K244" s="603">
        <f t="shared" si="36"/>
        <v>0</v>
      </c>
      <c r="L244" s="1047">
        <f>(J244+K244)/H244</f>
        <v>1</v>
      </c>
      <c r="M244" s="1047">
        <v>0.17</v>
      </c>
      <c r="N244" s="1064" t="s">
        <v>2084</v>
      </c>
    </row>
    <row r="245" spans="1:14" x14ac:dyDescent="0.25">
      <c r="A245" s="1066"/>
      <c r="B245" s="1042"/>
      <c r="C245" s="1042"/>
      <c r="D245" s="1042"/>
      <c r="E245" s="1044"/>
      <c r="F245" s="597" t="s">
        <v>179</v>
      </c>
      <c r="G245" s="563">
        <v>49663</v>
      </c>
      <c r="H245" s="594">
        <v>1286.5999999999999</v>
      </c>
      <c r="I245" s="594">
        <v>1286.5999999999999</v>
      </c>
      <c r="J245" s="594">
        <v>1286.5999999999999</v>
      </c>
      <c r="K245" s="594">
        <v>0</v>
      </c>
      <c r="L245" s="1047"/>
      <c r="M245" s="1047"/>
      <c r="N245" s="1064"/>
    </row>
    <row r="246" spans="1:14" x14ac:dyDescent="0.25">
      <c r="A246" s="1066"/>
      <c r="B246" s="1042"/>
      <c r="C246" s="1042"/>
      <c r="D246" s="1042"/>
      <c r="E246" s="1044"/>
      <c r="F246" s="597" t="s">
        <v>639</v>
      </c>
      <c r="G246" s="563">
        <v>238722.6</v>
      </c>
      <c r="H246" s="594">
        <v>512119.7</v>
      </c>
      <c r="I246" s="594">
        <v>512119.7</v>
      </c>
      <c r="J246" s="594">
        <v>512119.7</v>
      </c>
      <c r="K246" s="594">
        <v>0</v>
      </c>
      <c r="L246" s="1047"/>
      <c r="M246" s="1047"/>
      <c r="N246" s="1064"/>
    </row>
    <row r="247" spans="1:14" x14ac:dyDescent="0.25">
      <c r="A247" s="1066"/>
      <c r="B247" s="1042"/>
      <c r="C247" s="1042"/>
      <c r="D247" s="1042"/>
      <c r="E247" s="1044"/>
      <c r="F247" s="597" t="s">
        <v>6</v>
      </c>
      <c r="G247" s="563">
        <v>0</v>
      </c>
      <c r="H247" s="594">
        <v>0</v>
      </c>
      <c r="I247" s="594">
        <v>0</v>
      </c>
      <c r="J247" s="594">
        <v>0</v>
      </c>
      <c r="K247" s="594">
        <v>0</v>
      </c>
      <c r="L247" s="1047"/>
      <c r="M247" s="1047"/>
      <c r="N247" s="1064"/>
    </row>
    <row r="248" spans="1:14" x14ac:dyDescent="0.25">
      <c r="A248" s="1066"/>
      <c r="B248" s="1042"/>
      <c r="C248" s="1042"/>
      <c r="D248" s="1042"/>
      <c r="E248" s="1044"/>
      <c r="F248" s="597" t="s">
        <v>7</v>
      </c>
      <c r="G248" s="563">
        <v>0</v>
      </c>
      <c r="H248" s="594">
        <v>0</v>
      </c>
      <c r="I248" s="594">
        <v>0</v>
      </c>
      <c r="J248" s="594">
        <v>0</v>
      </c>
      <c r="K248" s="594">
        <v>0</v>
      </c>
      <c r="L248" s="1047"/>
      <c r="M248" s="1047"/>
      <c r="N248" s="1064"/>
    </row>
    <row r="249" spans="1:14" x14ac:dyDescent="0.25">
      <c r="A249" s="1053" t="s">
        <v>1200</v>
      </c>
      <c r="B249" s="1054"/>
      <c r="C249" s="1054"/>
      <c r="D249" s="1054"/>
      <c r="E249" s="1054"/>
      <c r="F249" s="1054"/>
      <c r="G249" s="1054"/>
      <c r="H249" s="1054"/>
      <c r="I249" s="1054"/>
      <c r="J249" s="1054"/>
      <c r="K249" s="1054"/>
      <c r="L249" s="1054"/>
      <c r="M249" s="1054"/>
      <c r="N249" s="1054"/>
    </row>
    <row r="250" spans="1:14" x14ac:dyDescent="0.25">
      <c r="A250" s="1069" t="s">
        <v>1541</v>
      </c>
      <c r="B250" s="846" t="s">
        <v>1201</v>
      </c>
      <c r="C250" s="1042" t="s">
        <v>2085</v>
      </c>
      <c r="D250" s="1070" t="s">
        <v>1540</v>
      </c>
      <c r="E250" s="1071">
        <v>539034</v>
      </c>
      <c r="F250" s="604" t="s">
        <v>3</v>
      </c>
      <c r="G250" s="603">
        <f>SUM(G251:G252)</f>
        <v>526009.59999999998</v>
      </c>
      <c r="H250" s="603">
        <f t="shared" ref="H250:K256" si="37">SUM(H251:H252)</f>
        <v>13024.4</v>
      </c>
      <c r="I250" s="603">
        <f t="shared" si="37"/>
        <v>12711.6</v>
      </c>
      <c r="J250" s="603">
        <f t="shared" si="37"/>
        <v>12711.6</v>
      </c>
      <c r="K250" s="603">
        <f t="shared" si="37"/>
        <v>0</v>
      </c>
      <c r="L250" s="1072">
        <f>(J250+K250)/H250</f>
        <v>0.97598353858910969</v>
      </c>
      <c r="M250" s="1047">
        <v>1</v>
      </c>
      <c r="N250" s="1073" t="s">
        <v>2086</v>
      </c>
    </row>
    <row r="251" spans="1:14" x14ac:dyDescent="0.25">
      <c r="A251" s="1069"/>
      <c r="B251" s="846"/>
      <c r="C251" s="1042"/>
      <c r="D251" s="1070"/>
      <c r="E251" s="1071"/>
      <c r="F251" s="600" t="s">
        <v>179</v>
      </c>
      <c r="G251" s="594">
        <v>516009.6</v>
      </c>
      <c r="H251" s="563">
        <v>13024.4</v>
      </c>
      <c r="I251" s="563">
        <v>12711.6</v>
      </c>
      <c r="J251" s="563">
        <v>12711.6</v>
      </c>
      <c r="K251" s="594">
        <v>0</v>
      </c>
      <c r="L251" s="1072"/>
      <c r="M251" s="1047"/>
      <c r="N251" s="1073"/>
    </row>
    <row r="252" spans="1:14" x14ac:dyDescent="0.25">
      <c r="A252" s="1069"/>
      <c r="B252" s="846"/>
      <c r="C252" s="1042"/>
      <c r="D252" s="1070"/>
      <c r="E252" s="1071"/>
      <c r="F252" s="600" t="s">
        <v>7</v>
      </c>
      <c r="G252" s="594">
        <v>10000</v>
      </c>
      <c r="H252" s="563">
        <v>0</v>
      </c>
      <c r="I252" s="594">
        <v>0</v>
      </c>
      <c r="J252" s="594">
        <v>0</v>
      </c>
      <c r="K252" s="594">
        <v>0</v>
      </c>
      <c r="L252" s="1072"/>
      <c r="M252" s="1047"/>
      <c r="N252" s="1073"/>
    </row>
    <row r="253" spans="1:14" x14ac:dyDescent="0.25">
      <c r="A253" s="1069" t="s">
        <v>1545</v>
      </c>
      <c r="B253" s="846" t="s">
        <v>1202</v>
      </c>
      <c r="C253" s="1042" t="s">
        <v>1203</v>
      </c>
      <c r="D253" s="1070" t="s">
        <v>2087</v>
      </c>
      <c r="E253" s="1071">
        <v>449536.29</v>
      </c>
      <c r="F253" s="604" t="s">
        <v>3</v>
      </c>
      <c r="G253" s="603">
        <f>SUM(G254:G255)</f>
        <v>449536.3</v>
      </c>
      <c r="H253" s="603">
        <f t="shared" si="37"/>
        <v>0</v>
      </c>
      <c r="I253" s="603">
        <f t="shared" si="37"/>
        <v>0</v>
      </c>
      <c r="J253" s="603">
        <f t="shared" si="37"/>
        <v>0</v>
      </c>
      <c r="K253" s="603">
        <f t="shared" si="37"/>
        <v>0</v>
      </c>
      <c r="L253" s="1072">
        <v>0</v>
      </c>
      <c r="M253" s="1047">
        <v>1</v>
      </c>
      <c r="N253" s="1073" t="s">
        <v>2088</v>
      </c>
    </row>
    <row r="254" spans="1:14" x14ac:dyDescent="0.25">
      <c r="A254" s="1069"/>
      <c r="B254" s="846"/>
      <c r="C254" s="1042"/>
      <c r="D254" s="1070"/>
      <c r="E254" s="1071"/>
      <c r="F254" s="600" t="s">
        <v>179</v>
      </c>
      <c r="G254" s="594">
        <v>437674.7</v>
      </c>
      <c r="H254" s="594">
        <v>0</v>
      </c>
      <c r="I254" s="594">
        <v>0</v>
      </c>
      <c r="J254" s="594">
        <v>0</v>
      </c>
      <c r="K254" s="594">
        <v>0</v>
      </c>
      <c r="L254" s="1072"/>
      <c r="M254" s="1047"/>
      <c r="N254" s="1073"/>
    </row>
    <row r="255" spans="1:14" x14ac:dyDescent="0.25">
      <c r="A255" s="1069"/>
      <c r="B255" s="846"/>
      <c r="C255" s="1042"/>
      <c r="D255" s="1070"/>
      <c r="E255" s="1071"/>
      <c r="F255" s="600" t="s">
        <v>7</v>
      </c>
      <c r="G255" s="594">
        <v>11861.6</v>
      </c>
      <c r="H255" s="594">
        <v>0</v>
      </c>
      <c r="I255" s="594">
        <v>0</v>
      </c>
      <c r="J255" s="594">
        <v>0</v>
      </c>
      <c r="K255" s="594">
        <v>0</v>
      </c>
      <c r="L255" s="1072"/>
      <c r="M255" s="1047"/>
      <c r="N255" s="1073"/>
    </row>
    <row r="256" spans="1:14" x14ac:dyDescent="0.25">
      <c r="A256" s="1069" t="s">
        <v>1546</v>
      </c>
      <c r="B256" s="846" t="s">
        <v>1204</v>
      </c>
      <c r="C256" s="1042" t="s">
        <v>1203</v>
      </c>
      <c r="D256" s="1042" t="s">
        <v>2089</v>
      </c>
      <c r="E256" s="1048">
        <v>360564.8</v>
      </c>
      <c r="F256" s="604" t="s">
        <v>3</v>
      </c>
      <c r="G256" s="603">
        <f>SUM(G257:G258)</f>
        <v>179006.1</v>
      </c>
      <c r="H256" s="603">
        <f t="shared" si="37"/>
        <v>181558.6</v>
      </c>
      <c r="I256" s="603">
        <f t="shared" si="37"/>
        <v>152130.9</v>
      </c>
      <c r="J256" s="603">
        <f t="shared" si="37"/>
        <v>152130.9</v>
      </c>
      <c r="K256" s="603">
        <f t="shared" si="37"/>
        <v>0</v>
      </c>
      <c r="L256" s="1072">
        <f>(J256+K256)/H256</f>
        <v>0.83791624302015988</v>
      </c>
      <c r="M256" s="1047">
        <v>0.92</v>
      </c>
      <c r="N256" s="1073" t="s">
        <v>2090</v>
      </c>
    </row>
    <row r="257" spans="1:14" x14ac:dyDescent="0.25">
      <c r="A257" s="1069"/>
      <c r="B257" s="846"/>
      <c r="C257" s="1042"/>
      <c r="D257" s="1042"/>
      <c r="E257" s="1048"/>
      <c r="F257" s="600" t="s">
        <v>179</v>
      </c>
      <c r="G257" s="594">
        <v>169006.1</v>
      </c>
      <c r="H257" s="563">
        <v>181558.6</v>
      </c>
      <c r="I257" s="563">
        <v>152130.9</v>
      </c>
      <c r="J257" s="563">
        <v>152130.9</v>
      </c>
      <c r="K257" s="594">
        <v>0</v>
      </c>
      <c r="L257" s="1072"/>
      <c r="M257" s="1047"/>
      <c r="N257" s="1073"/>
    </row>
    <row r="258" spans="1:14" x14ac:dyDescent="0.25">
      <c r="A258" s="1069"/>
      <c r="B258" s="846"/>
      <c r="C258" s="1042"/>
      <c r="D258" s="1042"/>
      <c r="E258" s="1048"/>
      <c r="F258" s="600" t="s">
        <v>7</v>
      </c>
      <c r="G258" s="594">
        <v>10000</v>
      </c>
      <c r="H258" s="563">
        <v>0</v>
      </c>
      <c r="I258" s="594">
        <v>0</v>
      </c>
      <c r="J258" s="594">
        <v>0</v>
      </c>
      <c r="K258" s="594">
        <v>0</v>
      </c>
      <c r="L258" s="1072"/>
      <c r="M258" s="1047"/>
      <c r="N258" s="1073"/>
    </row>
    <row r="259" spans="1:14" x14ac:dyDescent="0.25">
      <c r="A259" s="1069" t="s">
        <v>1549</v>
      </c>
      <c r="B259" s="846" t="s">
        <v>2091</v>
      </c>
      <c r="C259" s="1042" t="s">
        <v>2092</v>
      </c>
      <c r="D259" s="1070" t="s">
        <v>2093</v>
      </c>
      <c r="E259" s="1071">
        <v>70190.2</v>
      </c>
      <c r="F259" s="604" t="s">
        <v>3</v>
      </c>
      <c r="G259" s="603">
        <f>SUM(G260:G262)</f>
        <v>0</v>
      </c>
      <c r="H259" s="603">
        <f t="shared" ref="H259:K271" si="38">SUM(H260:H262)</f>
        <v>29194.400000000001</v>
      </c>
      <c r="I259" s="603">
        <f t="shared" si="38"/>
        <v>23356</v>
      </c>
      <c r="J259" s="603">
        <f t="shared" si="38"/>
        <v>0</v>
      </c>
      <c r="K259" s="603">
        <f t="shared" si="38"/>
        <v>0</v>
      </c>
      <c r="L259" s="1047">
        <f>(J259+K259)/H259</f>
        <v>0</v>
      </c>
      <c r="M259" s="1047">
        <v>0</v>
      </c>
      <c r="N259" s="1073" t="s">
        <v>2094</v>
      </c>
    </row>
    <row r="260" spans="1:14" x14ac:dyDescent="0.25">
      <c r="A260" s="1069"/>
      <c r="B260" s="846"/>
      <c r="C260" s="1042"/>
      <c r="D260" s="1070"/>
      <c r="E260" s="1071"/>
      <c r="F260" s="600" t="s">
        <v>179</v>
      </c>
      <c r="G260" s="594">
        <v>0</v>
      </c>
      <c r="H260" s="563">
        <v>23121.9</v>
      </c>
      <c r="I260" s="563">
        <v>23121.9</v>
      </c>
      <c r="J260" s="563">
        <v>0</v>
      </c>
      <c r="K260" s="594">
        <v>0</v>
      </c>
      <c r="L260" s="1047"/>
      <c r="M260" s="1047"/>
      <c r="N260" s="1073"/>
    </row>
    <row r="261" spans="1:14" x14ac:dyDescent="0.25">
      <c r="A261" s="1069"/>
      <c r="B261" s="846"/>
      <c r="C261" s="1042"/>
      <c r="D261" s="1070"/>
      <c r="E261" s="1071"/>
      <c r="F261" s="600" t="s">
        <v>6</v>
      </c>
      <c r="G261" s="594">
        <v>0</v>
      </c>
      <c r="H261" s="605">
        <v>233.6</v>
      </c>
      <c r="I261" s="605">
        <v>233.6</v>
      </c>
      <c r="J261" s="605">
        <v>0</v>
      </c>
      <c r="K261" s="594">
        <v>0</v>
      </c>
      <c r="L261" s="1047"/>
      <c r="M261" s="1047"/>
      <c r="N261" s="1073"/>
    </row>
    <row r="262" spans="1:14" x14ac:dyDescent="0.25">
      <c r="A262" s="1069"/>
      <c r="B262" s="846"/>
      <c r="C262" s="1042"/>
      <c r="D262" s="1070"/>
      <c r="E262" s="1071"/>
      <c r="F262" s="600" t="s">
        <v>7</v>
      </c>
      <c r="G262" s="594">
        <v>0</v>
      </c>
      <c r="H262" s="605">
        <v>5838.9</v>
      </c>
      <c r="I262" s="594">
        <v>0.5</v>
      </c>
      <c r="J262" s="594">
        <v>0</v>
      </c>
      <c r="K262" s="594">
        <v>0</v>
      </c>
      <c r="L262" s="1047"/>
      <c r="M262" s="1047"/>
      <c r="N262" s="1073"/>
    </row>
    <row r="263" spans="1:14" x14ac:dyDescent="0.25">
      <c r="A263" s="1069" t="s">
        <v>1551</v>
      </c>
      <c r="B263" s="846" t="s">
        <v>2095</v>
      </c>
      <c r="C263" s="1042" t="s">
        <v>2092</v>
      </c>
      <c r="D263" s="1070" t="s">
        <v>2096</v>
      </c>
      <c r="E263" s="1071">
        <v>21388.860909090901</v>
      </c>
      <c r="F263" s="604" t="s">
        <v>3</v>
      </c>
      <c r="G263" s="603">
        <f>SUM(G264:G266)</f>
        <v>0</v>
      </c>
      <c r="H263" s="603">
        <f t="shared" si="38"/>
        <v>12681.51367</v>
      </c>
      <c r="I263" s="603">
        <f t="shared" si="38"/>
        <v>10145.21212</v>
      </c>
      <c r="J263" s="603">
        <f t="shared" si="38"/>
        <v>0</v>
      </c>
      <c r="K263" s="603">
        <f t="shared" si="38"/>
        <v>0</v>
      </c>
      <c r="L263" s="1047">
        <f>(J263+K263)/H263</f>
        <v>0</v>
      </c>
      <c r="M263" s="1047">
        <v>0</v>
      </c>
      <c r="N263" s="1073" t="s">
        <v>2094</v>
      </c>
    </row>
    <row r="264" spans="1:14" x14ac:dyDescent="0.25">
      <c r="A264" s="1069"/>
      <c r="B264" s="846"/>
      <c r="C264" s="1042"/>
      <c r="D264" s="1070"/>
      <c r="E264" s="1071"/>
      <c r="F264" s="600" t="s">
        <v>179</v>
      </c>
      <c r="G264" s="594">
        <v>0</v>
      </c>
      <c r="H264" s="606">
        <v>10043.76</v>
      </c>
      <c r="I264" s="606">
        <v>10043.76</v>
      </c>
      <c r="J264" s="606">
        <v>0</v>
      </c>
      <c r="K264" s="594">
        <v>0</v>
      </c>
      <c r="L264" s="1047"/>
      <c r="M264" s="1047"/>
      <c r="N264" s="1073"/>
    </row>
    <row r="265" spans="1:14" x14ac:dyDescent="0.25">
      <c r="A265" s="1069"/>
      <c r="B265" s="846"/>
      <c r="C265" s="1042"/>
      <c r="D265" s="1070"/>
      <c r="E265" s="1071"/>
      <c r="F265" s="600" t="s">
        <v>6</v>
      </c>
      <c r="G265" s="594">
        <v>0</v>
      </c>
      <c r="H265" s="606">
        <v>101.45211999999999</v>
      </c>
      <c r="I265" s="606">
        <v>101.45211999999999</v>
      </c>
      <c r="J265" s="606">
        <v>0</v>
      </c>
      <c r="K265" s="594">
        <v>0</v>
      </c>
      <c r="L265" s="1047"/>
      <c r="M265" s="1047"/>
      <c r="N265" s="1073"/>
    </row>
    <row r="266" spans="1:14" x14ac:dyDescent="0.25">
      <c r="A266" s="1069"/>
      <c r="B266" s="846"/>
      <c r="C266" s="1042"/>
      <c r="D266" s="1070"/>
      <c r="E266" s="1071"/>
      <c r="F266" s="600" t="s">
        <v>7</v>
      </c>
      <c r="G266" s="594">
        <v>0</v>
      </c>
      <c r="H266" s="606">
        <v>2536.3015500000001</v>
      </c>
      <c r="I266" s="594">
        <v>0</v>
      </c>
      <c r="J266" s="594">
        <v>0</v>
      </c>
      <c r="K266" s="594">
        <v>0</v>
      </c>
      <c r="L266" s="1047"/>
      <c r="M266" s="1047"/>
      <c r="N266" s="1073"/>
    </row>
    <row r="267" spans="1:14" x14ac:dyDescent="0.25">
      <c r="A267" s="1069" t="s">
        <v>2097</v>
      </c>
      <c r="B267" s="846" t="s">
        <v>2098</v>
      </c>
      <c r="C267" s="1042" t="s">
        <v>2092</v>
      </c>
      <c r="D267" s="1070" t="s">
        <v>2096</v>
      </c>
      <c r="E267" s="1071">
        <v>54665.97</v>
      </c>
      <c r="F267" s="604" t="s">
        <v>3</v>
      </c>
      <c r="G267" s="603">
        <f>SUM(G268:G270)</f>
        <v>0</v>
      </c>
      <c r="H267" s="603">
        <f t="shared" si="38"/>
        <v>25818.3</v>
      </c>
      <c r="I267" s="603">
        <f t="shared" si="38"/>
        <v>20654.599999999999</v>
      </c>
      <c r="J267" s="603">
        <f t="shared" si="38"/>
        <v>0</v>
      </c>
      <c r="K267" s="603">
        <f t="shared" si="38"/>
        <v>0</v>
      </c>
      <c r="L267" s="1047">
        <f>(J267+K267)/H267</f>
        <v>0</v>
      </c>
      <c r="M267" s="1047">
        <v>0</v>
      </c>
      <c r="N267" s="1073" t="s">
        <v>2094</v>
      </c>
    </row>
    <row r="268" spans="1:14" x14ac:dyDescent="0.25">
      <c r="A268" s="1069"/>
      <c r="B268" s="846"/>
      <c r="C268" s="1042"/>
      <c r="D268" s="1070"/>
      <c r="E268" s="1071"/>
      <c r="F268" s="600" t="s">
        <v>179</v>
      </c>
      <c r="G268" s="594">
        <v>0</v>
      </c>
      <c r="H268" s="606">
        <v>20448.099999999999</v>
      </c>
      <c r="I268" s="606">
        <v>20448.099999999999</v>
      </c>
      <c r="J268" s="606">
        <v>0</v>
      </c>
      <c r="K268" s="594">
        <v>0</v>
      </c>
      <c r="L268" s="1047"/>
      <c r="M268" s="1047"/>
      <c r="N268" s="1073"/>
    </row>
    <row r="269" spans="1:14" x14ac:dyDescent="0.25">
      <c r="A269" s="1069"/>
      <c r="B269" s="846"/>
      <c r="C269" s="1042"/>
      <c r="D269" s="1070"/>
      <c r="E269" s="1071"/>
      <c r="F269" s="600" t="s">
        <v>6</v>
      </c>
      <c r="G269" s="594">
        <v>0</v>
      </c>
      <c r="H269" s="606">
        <v>206.5</v>
      </c>
      <c r="I269" s="606">
        <v>206.5</v>
      </c>
      <c r="J269" s="606">
        <v>0</v>
      </c>
      <c r="K269" s="594">
        <v>0</v>
      </c>
      <c r="L269" s="1047"/>
      <c r="M269" s="1047"/>
      <c r="N269" s="1073"/>
    </row>
    <row r="270" spans="1:14" x14ac:dyDescent="0.25">
      <c r="A270" s="1069"/>
      <c r="B270" s="846"/>
      <c r="C270" s="1042"/>
      <c r="D270" s="1070"/>
      <c r="E270" s="1071"/>
      <c r="F270" s="600" t="s">
        <v>7</v>
      </c>
      <c r="G270" s="594">
        <v>0</v>
      </c>
      <c r="H270" s="606">
        <v>5163.7</v>
      </c>
      <c r="I270" s="594">
        <v>0</v>
      </c>
      <c r="J270" s="594">
        <v>0</v>
      </c>
      <c r="K270" s="594">
        <v>0</v>
      </c>
      <c r="L270" s="1047"/>
      <c r="M270" s="1047"/>
      <c r="N270" s="1073"/>
    </row>
    <row r="271" spans="1:14" x14ac:dyDescent="0.25">
      <c r="A271" s="1069" t="s">
        <v>2099</v>
      </c>
      <c r="B271" s="846" t="s">
        <v>2100</v>
      </c>
      <c r="C271" s="1042" t="s">
        <v>2092</v>
      </c>
      <c r="D271" s="1070" t="s">
        <v>2096</v>
      </c>
      <c r="E271" s="1071">
        <v>50487.701616161597</v>
      </c>
      <c r="F271" s="604" t="s">
        <v>3</v>
      </c>
      <c r="G271" s="603">
        <f>SUM(G272:G274)</f>
        <v>0</v>
      </c>
      <c r="H271" s="603">
        <f t="shared" si="38"/>
        <v>21083.5</v>
      </c>
      <c r="I271" s="603">
        <f t="shared" si="38"/>
        <v>16866.8</v>
      </c>
      <c r="J271" s="603">
        <f t="shared" si="38"/>
        <v>0</v>
      </c>
      <c r="K271" s="603">
        <f t="shared" si="38"/>
        <v>0</v>
      </c>
      <c r="L271" s="1047">
        <f>(J271+K271)/H271</f>
        <v>0</v>
      </c>
      <c r="M271" s="1047">
        <v>0</v>
      </c>
      <c r="N271" s="1073" t="s">
        <v>2094</v>
      </c>
    </row>
    <row r="272" spans="1:14" x14ac:dyDescent="0.25">
      <c r="A272" s="1069"/>
      <c r="B272" s="846"/>
      <c r="C272" s="1042"/>
      <c r="D272" s="1070"/>
      <c r="E272" s="1071"/>
      <c r="F272" s="600" t="s">
        <v>179</v>
      </c>
      <c r="G272" s="594">
        <v>0</v>
      </c>
      <c r="H272" s="606">
        <v>16698.099999999999</v>
      </c>
      <c r="I272" s="606">
        <v>16698.099999999999</v>
      </c>
      <c r="J272" s="606">
        <v>0</v>
      </c>
      <c r="K272" s="594">
        <v>0</v>
      </c>
      <c r="L272" s="1047"/>
      <c r="M272" s="1047"/>
      <c r="N272" s="1073"/>
    </row>
    <row r="273" spans="1:14" x14ac:dyDescent="0.25">
      <c r="A273" s="1069"/>
      <c r="B273" s="846"/>
      <c r="C273" s="1042"/>
      <c r="D273" s="1070"/>
      <c r="E273" s="1071"/>
      <c r="F273" s="600" t="s">
        <v>6</v>
      </c>
      <c r="G273" s="594">
        <v>0</v>
      </c>
      <c r="H273" s="606">
        <v>168.7</v>
      </c>
      <c r="I273" s="606">
        <v>168.7</v>
      </c>
      <c r="J273" s="606">
        <v>0</v>
      </c>
      <c r="K273" s="594">
        <v>0</v>
      </c>
      <c r="L273" s="1047"/>
      <c r="M273" s="1047"/>
      <c r="N273" s="1073"/>
    </row>
    <row r="274" spans="1:14" x14ac:dyDescent="0.25">
      <c r="A274" s="1069"/>
      <c r="B274" s="846"/>
      <c r="C274" s="1042"/>
      <c r="D274" s="1070"/>
      <c r="E274" s="1071"/>
      <c r="F274" s="600" t="s">
        <v>7</v>
      </c>
      <c r="G274" s="594">
        <v>0</v>
      </c>
      <c r="H274" s="606">
        <v>4216.7</v>
      </c>
      <c r="I274" s="594">
        <v>0</v>
      </c>
      <c r="J274" s="594">
        <v>0</v>
      </c>
      <c r="K274" s="594">
        <v>0</v>
      </c>
      <c r="L274" s="1047"/>
      <c r="M274" s="1047"/>
      <c r="N274" s="1073"/>
    </row>
    <row r="275" spans="1:14" x14ac:dyDescent="0.25">
      <c r="A275" s="1069" t="s">
        <v>2101</v>
      </c>
      <c r="B275" s="846" t="s">
        <v>2102</v>
      </c>
      <c r="C275" s="1042" t="s">
        <v>2092</v>
      </c>
      <c r="D275" s="1070" t="s">
        <v>2096</v>
      </c>
      <c r="E275" s="1074">
        <v>45652.24</v>
      </c>
      <c r="F275" s="604" t="s">
        <v>3</v>
      </c>
      <c r="G275" s="603">
        <f>SUM(G276:G278)</f>
        <v>0</v>
      </c>
      <c r="H275" s="603">
        <f t="shared" ref="H275:K287" si="39">SUM(H276:H278)</f>
        <v>6395.0999999999995</v>
      </c>
      <c r="I275" s="603">
        <f t="shared" si="39"/>
        <v>5116.0999999999995</v>
      </c>
      <c r="J275" s="603">
        <f t="shared" si="39"/>
        <v>0</v>
      </c>
      <c r="K275" s="603">
        <f t="shared" si="39"/>
        <v>0</v>
      </c>
      <c r="L275" s="1047">
        <f>(J275+K275)/H275</f>
        <v>0</v>
      </c>
      <c r="M275" s="1047">
        <v>0</v>
      </c>
      <c r="N275" s="1073" t="s">
        <v>2094</v>
      </c>
    </row>
    <row r="276" spans="1:14" x14ac:dyDescent="0.25">
      <c r="A276" s="1069"/>
      <c r="B276" s="846"/>
      <c r="C276" s="1042"/>
      <c r="D276" s="1070"/>
      <c r="E276" s="1074"/>
      <c r="F276" s="600" t="s">
        <v>179</v>
      </c>
      <c r="G276" s="594">
        <v>0</v>
      </c>
      <c r="H276" s="606">
        <v>5064.8999999999996</v>
      </c>
      <c r="I276" s="606">
        <v>5064.8999999999996</v>
      </c>
      <c r="J276" s="606">
        <v>0</v>
      </c>
      <c r="K276" s="594">
        <v>0</v>
      </c>
      <c r="L276" s="1047"/>
      <c r="M276" s="1047"/>
      <c r="N276" s="1073"/>
    </row>
    <row r="277" spans="1:14" x14ac:dyDescent="0.25">
      <c r="A277" s="1069"/>
      <c r="B277" s="846"/>
      <c r="C277" s="1042"/>
      <c r="D277" s="1070"/>
      <c r="E277" s="1074"/>
      <c r="F277" s="600" t="s">
        <v>6</v>
      </c>
      <c r="G277" s="594">
        <v>0</v>
      </c>
      <c r="H277" s="606">
        <v>51.2</v>
      </c>
      <c r="I277" s="606">
        <v>51.2</v>
      </c>
      <c r="J277" s="606">
        <v>0</v>
      </c>
      <c r="K277" s="594">
        <v>0</v>
      </c>
      <c r="L277" s="1047"/>
      <c r="M277" s="1047"/>
      <c r="N277" s="1073"/>
    </row>
    <row r="278" spans="1:14" x14ac:dyDescent="0.25">
      <c r="A278" s="1069"/>
      <c r="B278" s="846"/>
      <c r="C278" s="1042"/>
      <c r="D278" s="1070"/>
      <c r="E278" s="1074"/>
      <c r="F278" s="600" t="s">
        <v>7</v>
      </c>
      <c r="G278" s="594">
        <v>0</v>
      </c>
      <c r="H278" s="606">
        <v>1279</v>
      </c>
      <c r="I278" s="594">
        <v>0</v>
      </c>
      <c r="J278" s="594">
        <v>0</v>
      </c>
      <c r="K278" s="594">
        <v>0</v>
      </c>
      <c r="L278" s="1047"/>
      <c r="M278" s="1047"/>
      <c r="N278" s="1073"/>
    </row>
    <row r="279" spans="1:14" x14ac:dyDescent="0.25">
      <c r="A279" s="1069" t="s">
        <v>2103</v>
      </c>
      <c r="B279" s="846" t="s">
        <v>2104</v>
      </c>
      <c r="C279" s="1042" t="s">
        <v>2092</v>
      </c>
      <c r="D279" s="1070" t="s">
        <v>2096</v>
      </c>
      <c r="E279" s="1071">
        <v>27860.959999999999</v>
      </c>
      <c r="F279" s="604" t="s">
        <v>3</v>
      </c>
      <c r="G279" s="603">
        <f>SUM(G280:G282)</f>
        <v>0</v>
      </c>
      <c r="H279" s="603">
        <f t="shared" si="39"/>
        <v>3902.8999999999996</v>
      </c>
      <c r="I279" s="603">
        <f t="shared" si="39"/>
        <v>3122.2999999999997</v>
      </c>
      <c r="J279" s="603">
        <f t="shared" si="39"/>
        <v>0</v>
      </c>
      <c r="K279" s="603">
        <f t="shared" si="39"/>
        <v>0</v>
      </c>
      <c r="L279" s="1047">
        <f>(J279+K279)/H279</f>
        <v>0</v>
      </c>
      <c r="M279" s="1047">
        <v>0</v>
      </c>
      <c r="N279" s="1073" t="s">
        <v>2094</v>
      </c>
    </row>
    <row r="280" spans="1:14" x14ac:dyDescent="0.25">
      <c r="A280" s="1069"/>
      <c r="B280" s="846"/>
      <c r="C280" s="1042"/>
      <c r="D280" s="1070"/>
      <c r="E280" s="1071"/>
      <c r="F280" s="600" t="s">
        <v>179</v>
      </c>
      <c r="G280" s="594">
        <v>0</v>
      </c>
      <c r="H280" s="606">
        <v>3091.1</v>
      </c>
      <c r="I280" s="606">
        <v>3091.1</v>
      </c>
      <c r="J280" s="606">
        <v>0</v>
      </c>
      <c r="K280" s="594">
        <v>0</v>
      </c>
      <c r="L280" s="1047"/>
      <c r="M280" s="1047"/>
      <c r="N280" s="1073"/>
    </row>
    <row r="281" spans="1:14" x14ac:dyDescent="0.25">
      <c r="A281" s="1069"/>
      <c r="B281" s="846"/>
      <c r="C281" s="1042"/>
      <c r="D281" s="1070"/>
      <c r="E281" s="1071"/>
      <c r="F281" s="600" t="s">
        <v>6</v>
      </c>
      <c r="G281" s="594">
        <v>0</v>
      </c>
      <c r="H281" s="606">
        <v>31.2</v>
      </c>
      <c r="I281" s="606">
        <v>31.2</v>
      </c>
      <c r="J281" s="606">
        <v>0</v>
      </c>
      <c r="K281" s="594">
        <v>0</v>
      </c>
      <c r="L281" s="1047"/>
      <c r="M281" s="1047"/>
      <c r="N281" s="1073"/>
    </row>
    <row r="282" spans="1:14" x14ac:dyDescent="0.25">
      <c r="A282" s="1069"/>
      <c r="B282" s="846"/>
      <c r="C282" s="1042"/>
      <c r="D282" s="1070"/>
      <c r="E282" s="1071"/>
      <c r="F282" s="600" t="s">
        <v>7</v>
      </c>
      <c r="G282" s="594">
        <v>0</v>
      </c>
      <c r="H282" s="606">
        <v>780.6</v>
      </c>
      <c r="I282" s="594">
        <v>0</v>
      </c>
      <c r="J282" s="594">
        <v>0</v>
      </c>
      <c r="K282" s="594">
        <v>0</v>
      </c>
      <c r="L282" s="1047"/>
      <c r="M282" s="1047"/>
      <c r="N282" s="1073"/>
    </row>
    <row r="283" spans="1:14" x14ac:dyDescent="0.25">
      <c r="A283" s="1069" t="s">
        <v>2105</v>
      </c>
      <c r="B283" s="846" t="s">
        <v>2106</v>
      </c>
      <c r="C283" s="1042" t="s">
        <v>2092</v>
      </c>
      <c r="D283" s="1070" t="s">
        <v>2107</v>
      </c>
      <c r="E283" s="1074">
        <v>7304.37</v>
      </c>
      <c r="F283" s="604" t="s">
        <v>3</v>
      </c>
      <c r="G283" s="603">
        <f>SUM(G284:G286)</f>
        <v>0</v>
      </c>
      <c r="H283" s="603">
        <f t="shared" si="39"/>
        <v>7304.4</v>
      </c>
      <c r="I283" s="603">
        <f t="shared" si="39"/>
        <v>5843.5</v>
      </c>
      <c r="J283" s="603">
        <f t="shared" si="39"/>
        <v>0</v>
      </c>
      <c r="K283" s="603">
        <f t="shared" si="39"/>
        <v>0</v>
      </c>
      <c r="L283" s="1047">
        <f>(J283+K283)/H283</f>
        <v>0</v>
      </c>
      <c r="M283" s="1047">
        <v>0</v>
      </c>
      <c r="N283" s="1073" t="s">
        <v>2108</v>
      </c>
    </row>
    <row r="284" spans="1:14" x14ac:dyDescent="0.25">
      <c r="A284" s="1069"/>
      <c r="B284" s="846"/>
      <c r="C284" s="1042"/>
      <c r="D284" s="1070"/>
      <c r="E284" s="1074"/>
      <c r="F284" s="600" t="s">
        <v>179</v>
      </c>
      <c r="G284" s="594">
        <v>0</v>
      </c>
      <c r="H284" s="606">
        <v>5785.1</v>
      </c>
      <c r="I284" s="606">
        <v>5785.1</v>
      </c>
      <c r="J284" s="606">
        <v>0</v>
      </c>
      <c r="K284" s="594">
        <v>0</v>
      </c>
      <c r="L284" s="1047"/>
      <c r="M284" s="1047"/>
      <c r="N284" s="1073"/>
    </row>
    <row r="285" spans="1:14" x14ac:dyDescent="0.25">
      <c r="A285" s="1069"/>
      <c r="B285" s="846"/>
      <c r="C285" s="1042"/>
      <c r="D285" s="1070"/>
      <c r="E285" s="1074"/>
      <c r="F285" s="600" t="s">
        <v>6</v>
      </c>
      <c r="G285" s="594">
        <v>0</v>
      </c>
      <c r="H285" s="606">
        <v>58.4</v>
      </c>
      <c r="I285" s="606">
        <v>58.4</v>
      </c>
      <c r="J285" s="606">
        <v>0</v>
      </c>
      <c r="K285" s="594">
        <v>0</v>
      </c>
      <c r="L285" s="1047"/>
      <c r="M285" s="1047"/>
      <c r="N285" s="1073"/>
    </row>
    <row r="286" spans="1:14" x14ac:dyDescent="0.25">
      <c r="A286" s="1069"/>
      <c r="B286" s="846"/>
      <c r="C286" s="1042"/>
      <c r="D286" s="1070"/>
      <c r="E286" s="1074"/>
      <c r="F286" s="600" t="s">
        <v>7</v>
      </c>
      <c r="G286" s="594">
        <v>0</v>
      </c>
      <c r="H286" s="606">
        <v>1460.9</v>
      </c>
      <c r="I286" s="594">
        <v>0</v>
      </c>
      <c r="J286" s="594">
        <v>0</v>
      </c>
      <c r="K286" s="594">
        <v>0</v>
      </c>
      <c r="L286" s="1047"/>
      <c r="M286" s="1047"/>
      <c r="N286" s="1073"/>
    </row>
    <row r="287" spans="1:14" x14ac:dyDescent="0.25">
      <c r="A287" s="1069" t="s">
        <v>2109</v>
      </c>
      <c r="B287" s="846" t="s">
        <v>2110</v>
      </c>
      <c r="C287" s="1042" t="s">
        <v>2092</v>
      </c>
      <c r="D287" s="1070" t="s">
        <v>2107</v>
      </c>
      <c r="E287" s="1074">
        <v>48354.38</v>
      </c>
      <c r="F287" s="604" t="s">
        <v>3</v>
      </c>
      <c r="G287" s="603">
        <f>SUM(G288:G290)</f>
        <v>0</v>
      </c>
      <c r="H287" s="603">
        <f t="shared" si="39"/>
        <v>48354.400000000001</v>
      </c>
      <c r="I287" s="603">
        <f t="shared" si="39"/>
        <v>38683.5</v>
      </c>
      <c r="J287" s="603">
        <f t="shared" si="39"/>
        <v>0</v>
      </c>
      <c r="K287" s="603">
        <f t="shared" si="39"/>
        <v>0</v>
      </c>
      <c r="L287" s="1047">
        <f>(J287+K287)/H287</f>
        <v>0</v>
      </c>
      <c r="M287" s="1047">
        <v>0</v>
      </c>
      <c r="N287" s="1073" t="s">
        <v>2108</v>
      </c>
    </row>
    <row r="288" spans="1:14" x14ac:dyDescent="0.25">
      <c r="A288" s="1069"/>
      <c r="B288" s="846"/>
      <c r="C288" s="1042"/>
      <c r="D288" s="1070"/>
      <c r="E288" s="1074"/>
      <c r="F288" s="600" t="s">
        <v>179</v>
      </c>
      <c r="G288" s="594">
        <v>0</v>
      </c>
      <c r="H288" s="606">
        <v>38296.699999999997</v>
      </c>
      <c r="I288" s="606">
        <v>38296.699999999997</v>
      </c>
      <c r="J288" s="606">
        <v>0</v>
      </c>
      <c r="K288" s="594">
        <v>0</v>
      </c>
      <c r="L288" s="1047"/>
      <c r="M288" s="1047"/>
      <c r="N288" s="1073"/>
    </row>
    <row r="289" spans="1:14" x14ac:dyDescent="0.25">
      <c r="A289" s="1069"/>
      <c r="B289" s="846"/>
      <c r="C289" s="1042"/>
      <c r="D289" s="1070"/>
      <c r="E289" s="1074"/>
      <c r="F289" s="600" t="s">
        <v>6</v>
      </c>
      <c r="G289" s="594">
        <v>0</v>
      </c>
      <c r="H289" s="606">
        <v>386.8</v>
      </c>
      <c r="I289" s="606">
        <v>386.8</v>
      </c>
      <c r="J289" s="606">
        <v>0</v>
      </c>
      <c r="K289" s="594">
        <v>0</v>
      </c>
      <c r="L289" s="1047"/>
      <c r="M289" s="1047"/>
      <c r="N289" s="1073"/>
    </row>
    <row r="290" spans="1:14" x14ac:dyDescent="0.25">
      <c r="A290" s="1069"/>
      <c r="B290" s="846"/>
      <c r="C290" s="1042"/>
      <c r="D290" s="1070"/>
      <c r="E290" s="1074"/>
      <c r="F290" s="600" t="s">
        <v>7</v>
      </c>
      <c r="G290" s="594">
        <v>0</v>
      </c>
      <c r="H290" s="606">
        <v>9670.9</v>
      </c>
      <c r="I290" s="594">
        <v>0</v>
      </c>
      <c r="J290" s="594">
        <v>0</v>
      </c>
      <c r="K290" s="594">
        <v>0</v>
      </c>
      <c r="L290" s="1047"/>
      <c r="M290" s="1047"/>
      <c r="N290" s="1073"/>
    </row>
    <row r="291" spans="1:14" x14ac:dyDescent="0.25">
      <c r="A291" s="1069" t="s">
        <v>2111</v>
      </c>
      <c r="B291" s="846" t="s">
        <v>2112</v>
      </c>
      <c r="C291" s="1042" t="s">
        <v>2113</v>
      </c>
      <c r="D291" s="1070" t="s">
        <v>2114</v>
      </c>
      <c r="E291" s="1074">
        <v>258407.4</v>
      </c>
      <c r="F291" s="604" t="s">
        <v>3</v>
      </c>
      <c r="G291" s="603">
        <f>G292</f>
        <v>0</v>
      </c>
      <c r="H291" s="603">
        <f t="shared" ref="H291:K299" si="40">H292</f>
        <v>11811.4</v>
      </c>
      <c r="I291" s="603">
        <f t="shared" si="40"/>
        <v>11811.4</v>
      </c>
      <c r="J291" s="603">
        <f t="shared" si="40"/>
        <v>0</v>
      </c>
      <c r="K291" s="603">
        <f t="shared" si="40"/>
        <v>0</v>
      </c>
      <c r="L291" s="1047">
        <f>(J291+K291)/H291</f>
        <v>0</v>
      </c>
      <c r="M291" s="1047">
        <v>0</v>
      </c>
      <c r="N291" s="1073" t="s">
        <v>2115</v>
      </c>
    </row>
    <row r="292" spans="1:14" x14ac:dyDescent="0.25">
      <c r="A292" s="1069"/>
      <c r="B292" s="846"/>
      <c r="C292" s="1042"/>
      <c r="D292" s="1070"/>
      <c r="E292" s="1074"/>
      <c r="F292" s="600" t="s">
        <v>179</v>
      </c>
      <c r="G292" s="594">
        <v>0</v>
      </c>
      <c r="H292" s="606">
        <v>11811.4</v>
      </c>
      <c r="I292" s="606">
        <v>11811.4</v>
      </c>
      <c r="J292" s="606">
        <v>0</v>
      </c>
      <c r="K292" s="594">
        <v>0</v>
      </c>
      <c r="L292" s="1047"/>
      <c r="M292" s="1047"/>
      <c r="N292" s="1073"/>
    </row>
    <row r="293" spans="1:14" x14ac:dyDescent="0.25">
      <c r="A293" s="1069" t="s">
        <v>2116</v>
      </c>
      <c r="B293" s="846" t="s">
        <v>2117</v>
      </c>
      <c r="C293" s="1042" t="s">
        <v>2118</v>
      </c>
      <c r="D293" s="1070" t="s">
        <v>2114</v>
      </c>
      <c r="E293" s="1071">
        <v>268711.59999999998</v>
      </c>
      <c r="F293" s="604" t="s">
        <v>3</v>
      </c>
      <c r="G293" s="603">
        <f>G294</f>
        <v>0</v>
      </c>
      <c r="H293" s="603">
        <f t="shared" si="40"/>
        <v>12357.4</v>
      </c>
      <c r="I293" s="603">
        <f t="shared" si="40"/>
        <v>12357.4</v>
      </c>
      <c r="J293" s="603">
        <f t="shared" si="40"/>
        <v>0</v>
      </c>
      <c r="K293" s="603">
        <f t="shared" si="40"/>
        <v>0</v>
      </c>
      <c r="L293" s="1047">
        <f>(J293+K293)/H293</f>
        <v>0</v>
      </c>
      <c r="M293" s="1047">
        <v>0</v>
      </c>
      <c r="N293" s="1073" t="s">
        <v>2115</v>
      </c>
    </row>
    <row r="294" spans="1:14" x14ac:dyDescent="0.25">
      <c r="A294" s="1069"/>
      <c r="B294" s="846"/>
      <c r="C294" s="1042"/>
      <c r="D294" s="1070"/>
      <c r="E294" s="1071"/>
      <c r="F294" s="600" t="s">
        <v>179</v>
      </c>
      <c r="G294" s="594">
        <v>0</v>
      </c>
      <c r="H294" s="606">
        <v>12357.4</v>
      </c>
      <c r="I294" s="606">
        <v>12357.4</v>
      </c>
      <c r="J294" s="606">
        <v>0</v>
      </c>
      <c r="K294" s="594">
        <v>0</v>
      </c>
      <c r="L294" s="1047"/>
      <c r="M294" s="1047"/>
      <c r="N294" s="1073"/>
    </row>
    <row r="295" spans="1:14" x14ac:dyDescent="0.25">
      <c r="A295" s="1069" t="s">
        <v>2119</v>
      </c>
      <c r="B295" s="846" t="s">
        <v>2120</v>
      </c>
      <c r="C295" s="1042" t="s">
        <v>2118</v>
      </c>
      <c r="D295" s="1070" t="s">
        <v>2114</v>
      </c>
      <c r="E295" s="1071">
        <v>196341.4</v>
      </c>
      <c r="F295" s="604" t="s">
        <v>3</v>
      </c>
      <c r="G295" s="603">
        <f>G296</f>
        <v>0</v>
      </c>
      <c r="H295" s="603">
        <f t="shared" si="40"/>
        <v>9085.7000000000007</v>
      </c>
      <c r="I295" s="603">
        <f t="shared" si="40"/>
        <v>9085.7000000000007</v>
      </c>
      <c r="J295" s="603">
        <f t="shared" si="40"/>
        <v>0</v>
      </c>
      <c r="K295" s="603">
        <f t="shared" si="40"/>
        <v>0</v>
      </c>
      <c r="L295" s="1047">
        <f>(J295+K295)/H295</f>
        <v>0</v>
      </c>
      <c r="M295" s="1047">
        <v>0</v>
      </c>
      <c r="N295" s="1073" t="s">
        <v>2115</v>
      </c>
    </row>
    <row r="296" spans="1:14" x14ac:dyDescent="0.25">
      <c r="A296" s="1069"/>
      <c r="B296" s="846"/>
      <c r="C296" s="1042"/>
      <c r="D296" s="1070"/>
      <c r="E296" s="1071"/>
      <c r="F296" s="600" t="s">
        <v>179</v>
      </c>
      <c r="G296" s="594">
        <v>0</v>
      </c>
      <c r="H296" s="606">
        <v>9085.7000000000007</v>
      </c>
      <c r="I296" s="606">
        <v>9085.7000000000007</v>
      </c>
      <c r="J296" s="606">
        <v>0</v>
      </c>
      <c r="K296" s="594">
        <v>0</v>
      </c>
      <c r="L296" s="1047"/>
      <c r="M296" s="1047"/>
      <c r="N296" s="1073"/>
    </row>
    <row r="297" spans="1:14" x14ac:dyDescent="0.25">
      <c r="A297" s="1069" t="s">
        <v>2121</v>
      </c>
      <c r="B297" s="846" t="s">
        <v>2122</v>
      </c>
      <c r="C297" s="1042" t="s">
        <v>2118</v>
      </c>
      <c r="D297" s="1070" t="s">
        <v>2114</v>
      </c>
      <c r="E297" s="1071">
        <v>155048.70000000001</v>
      </c>
      <c r="F297" s="604" t="s">
        <v>3</v>
      </c>
      <c r="G297" s="603">
        <f>G298</f>
        <v>0</v>
      </c>
      <c r="H297" s="603">
        <f t="shared" si="40"/>
        <v>8238.2999999999993</v>
      </c>
      <c r="I297" s="603">
        <f t="shared" si="40"/>
        <v>8238.2999999999993</v>
      </c>
      <c r="J297" s="603">
        <f t="shared" si="40"/>
        <v>0</v>
      </c>
      <c r="K297" s="603">
        <f t="shared" si="40"/>
        <v>0</v>
      </c>
      <c r="L297" s="1047">
        <f>(J297+K297)/H297</f>
        <v>0</v>
      </c>
      <c r="M297" s="1047">
        <v>0</v>
      </c>
      <c r="N297" s="1073" t="s">
        <v>2115</v>
      </c>
    </row>
    <row r="298" spans="1:14" x14ac:dyDescent="0.25">
      <c r="A298" s="1069"/>
      <c r="B298" s="846"/>
      <c r="C298" s="1042"/>
      <c r="D298" s="1070"/>
      <c r="E298" s="1071"/>
      <c r="F298" s="600" t="s">
        <v>179</v>
      </c>
      <c r="G298" s="594">
        <v>0</v>
      </c>
      <c r="H298" s="606">
        <v>8238.2999999999993</v>
      </c>
      <c r="I298" s="606">
        <v>8238.2999999999993</v>
      </c>
      <c r="J298" s="606">
        <v>0</v>
      </c>
      <c r="K298" s="594">
        <v>0</v>
      </c>
      <c r="L298" s="1047"/>
      <c r="M298" s="1047"/>
      <c r="N298" s="1073"/>
    </row>
    <row r="299" spans="1:14" x14ac:dyDescent="0.25">
      <c r="A299" s="1069" t="s">
        <v>2123</v>
      </c>
      <c r="B299" s="1076" t="s">
        <v>1205</v>
      </c>
      <c r="C299" s="1042" t="s">
        <v>2124</v>
      </c>
      <c r="D299" s="1042" t="s">
        <v>1206</v>
      </c>
      <c r="E299" s="1048">
        <v>1192732.8600000001</v>
      </c>
      <c r="F299" s="595" t="s">
        <v>3</v>
      </c>
      <c r="G299" s="596">
        <f>G300</f>
        <v>588591.89999999991</v>
      </c>
      <c r="H299" s="596">
        <f t="shared" si="40"/>
        <v>376360.5</v>
      </c>
      <c r="I299" s="603">
        <f t="shared" si="40"/>
        <v>376360.5</v>
      </c>
      <c r="J299" s="603">
        <f t="shared" si="40"/>
        <v>376360.5</v>
      </c>
      <c r="K299" s="603">
        <f t="shared" si="40"/>
        <v>0</v>
      </c>
      <c r="L299" s="1047">
        <f>(J299+K299)/H299</f>
        <v>1</v>
      </c>
      <c r="M299" s="1047">
        <v>0.81</v>
      </c>
      <c r="N299" s="1075"/>
    </row>
    <row r="300" spans="1:14" x14ac:dyDescent="0.25">
      <c r="A300" s="1069"/>
      <c r="B300" s="1076"/>
      <c r="C300" s="1042"/>
      <c r="D300" s="1042"/>
      <c r="E300" s="1048"/>
      <c r="F300" s="597" t="s">
        <v>179</v>
      </c>
      <c r="G300" s="563">
        <v>588591.89999999991</v>
      </c>
      <c r="H300" s="563">
        <v>376360.5</v>
      </c>
      <c r="I300" s="563">
        <v>376360.5</v>
      </c>
      <c r="J300" s="563">
        <v>376360.5</v>
      </c>
      <c r="K300" s="594">
        <v>0</v>
      </c>
      <c r="L300" s="1047"/>
      <c r="M300" s="1047"/>
      <c r="N300" s="1075"/>
    </row>
    <row r="301" spans="1:14" x14ac:dyDescent="0.25">
      <c r="A301" s="1069" t="s">
        <v>2125</v>
      </c>
      <c r="B301" s="1070" t="s">
        <v>1542</v>
      </c>
      <c r="C301" s="1070" t="s">
        <v>1543</v>
      </c>
      <c r="D301" s="1070" t="s">
        <v>1544</v>
      </c>
      <c r="E301" s="1074">
        <v>389351</v>
      </c>
      <c r="F301" s="607" t="s">
        <v>3</v>
      </c>
      <c r="G301" s="608">
        <f>SUM(G302:G304)</f>
        <v>165912</v>
      </c>
      <c r="H301" s="608">
        <f t="shared" ref="H301:K301" si="41">SUM(H302:H304)</f>
        <v>223439</v>
      </c>
      <c r="I301" s="608">
        <f t="shared" si="41"/>
        <v>223439</v>
      </c>
      <c r="J301" s="608">
        <f t="shared" si="41"/>
        <v>223439</v>
      </c>
      <c r="K301" s="608">
        <f t="shared" si="41"/>
        <v>0</v>
      </c>
      <c r="L301" s="1047">
        <f>(J301+K301)/H301</f>
        <v>1</v>
      </c>
      <c r="M301" s="1047">
        <v>1</v>
      </c>
      <c r="N301" s="1073" t="s">
        <v>2126</v>
      </c>
    </row>
    <row r="302" spans="1:14" x14ac:dyDescent="0.25">
      <c r="A302" s="1069"/>
      <c r="B302" s="1070"/>
      <c r="C302" s="1070"/>
      <c r="D302" s="1070"/>
      <c r="E302" s="1074"/>
      <c r="F302" s="600" t="s">
        <v>179</v>
      </c>
      <c r="G302" s="610">
        <v>60962</v>
      </c>
      <c r="H302" s="609">
        <v>113194</v>
      </c>
      <c r="I302" s="609">
        <v>113194</v>
      </c>
      <c r="J302" s="609">
        <v>113194</v>
      </c>
      <c r="K302" s="594">
        <v>0</v>
      </c>
      <c r="L302" s="1047"/>
      <c r="M302" s="1047"/>
      <c r="N302" s="1073"/>
    </row>
    <row r="303" spans="1:14" x14ac:dyDescent="0.25">
      <c r="A303" s="1069"/>
      <c r="B303" s="1070"/>
      <c r="C303" s="1070"/>
      <c r="D303" s="1070"/>
      <c r="E303" s="1074"/>
      <c r="F303" s="600" t="s">
        <v>639</v>
      </c>
      <c r="G303" s="594">
        <v>87300</v>
      </c>
      <c r="H303" s="609">
        <v>110245</v>
      </c>
      <c r="I303" s="609">
        <v>110245</v>
      </c>
      <c r="J303" s="609">
        <v>110245</v>
      </c>
      <c r="K303" s="594">
        <v>0</v>
      </c>
      <c r="L303" s="1047"/>
      <c r="M303" s="1047"/>
      <c r="N303" s="1073"/>
    </row>
    <row r="304" spans="1:14" x14ac:dyDescent="0.25">
      <c r="A304" s="1069"/>
      <c r="B304" s="1070"/>
      <c r="C304" s="1070"/>
      <c r="D304" s="1070"/>
      <c r="E304" s="1074"/>
      <c r="F304" s="600" t="s">
        <v>7</v>
      </c>
      <c r="G304" s="594">
        <v>17650</v>
      </c>
      <c r="H304" s="610">
        <v>0</v>
      </c>
      <c r="I304" s="594">
        <v>0</v>
      </c>
      <c r="J304" s="594">
        <v>0</v>
      </c>
      <c r="K304" s="594">
        <v>0</v>
      </c>
      <c r="L304" s="1047"/>
      <c r="M304" s="1047"/>
      <c r="N304" s="1073"/>
    </row>
    <row r="305" spans="1:14" x14ac:dyDescent="0.25">
      <c r="A305" s="1069" t="s">
        <v>2127</v>
      </c>
      <c r="B305" s="1070" t="s">
        <v>2128</v>
      </c>
      <c r="C305" s="1070" t="s">
        <v>2129</v>
      </c>
      <c r="D305" s="1070" t="s">
        <v>2130</v>
      </c>
      <c r="E305" s="1074">
        <v>54747.8</v>
      </c>
      <c r="F305" s="607" t="s">
        <v>3</v>
      </c>
      <c r="G305" s="608">
        <f>SUM(G306:G309)</f>
        <v>0</v>
      </c>
      <c r="H305" s="608">
        <f t="shared" ref="H305:K310" si="42">SUM(H306:H309)</f>
        <v>54655</v>
      </c>
      <c r="I305" s="608">
        <f t="shared" si="42"/>
        <v>54655</v>
      </c>
      <c r="J305" s="608">
        <f t="shared" si="42"/>
        <v>54655</v>
      </c>
      <c r="K305" s="608">
        <f t="shared" si="42"/>
        <v>0</v>
      </c>
      <c r="L305" s="1047">
        <f>(J305+K305)/H305</f>
        <v>1</v>
      </c>
      <c r="M305" s="1047">
        <v>1</v>
      </c>
      <c r="N305" s="1073" t="s">
        <v>2126</v>
      </c>
    </row>
    <row r="306" spans="1:14" x14ac:dyDescent="0.25">
      <c r="A306" s="1069"/>
      <c r="B306" s="1070"/>
      <c r="C306" s="1070"/>
      <c r="D306" s="1070"/>
      <c r="E306" s="1074"/>
      <c r="F306" s="600" t="s">
        <v>179</v>
      </c>
      <c r="G306" s="594">
        <v>0</v>
      </c>
      <c r="H306" s="594">
        <v>9954</v>
      </c>
      <c r="I306" s="594">
        <v>9954</v>
      </c>
      <c r="J306" s="594">
        <v>9954</v>
      </c>
      <c r="K306" s="594">
        <v>0</v>
      </c>
      <c r="L306" s="1047"/>
      <c r="M306" s="1047"/>
      <c r="N306" s="1077"/>
    </row>
    <row r="307" spans="1:14" x14ac:dyDescent="0.25">
      <c r="A307" s="1069"/>
      <c r="B307" s="1070"/>
      <c r="C307" s="1070"/>
      <c r="D307" s="1070"/>
      <c r="E307" s="1074"/>
      <c r="F307" s="600" t="s">
        <v>639</v>
      </c>
      <c r="G307" s="594">
        <v>0</v>
      </c>
      <c r="H307" s="594">
        <v>29047</v>
      </c>
      <c r="I307" s="594">
        <v>29047</v>
      </c>
      <c r="J307" s="594">
        <v>29047</v>
      </c>
      <c r="K307" s="594">
        <v>0</v>
      </c>
      <c r="L307" s="1047"/>
      <c r="M307" s="1047"/>
      <c r="N307" s="1077"/>
    </row>
    <row r="308" spans="1:14" x14ac:dyDescent="0.25">
      <c r="A308" s="1069"/>
      <c r="B308" s="1070"/>
      <c r="C308" s="1070"/>
      <c r="D308" s="1070"/>
      <c r="E308" s="1074"/>
      <c r="F308" s="600" t="s">
        <v>6</v>
      </c>
      <c r="G308" s="594">
        <v>0</v>
      </c>
      <c r="H308" s="594">
        <v>1910</v>
      </c>
      <c r="I308" s="594">
        <v>1910</v>
      </c>
      <c r="J308" s="594">
        <v>1910</v>
      </c>
      <c r="K308" s="594">
        <v>0</v>
      </c>
      <c r="L308" s="1047"/>
      <c r="M308" s="1047"/>
      <c r="N308" s="1077"/>
    </row>
    <row r="309" spans="1:14" x14ac:dyDescent="0.25">
      <c r="A309" s="1069"/>
      <c r="B309" s="1070"/>
      <c r="C309" s="1070"/>
      <c r="D309" s="1070"/>
      <c r="E309" s="1074"/>
      <c r="F309" s="600" t="s">
        <v>7</v>
      </c>
      <c r="G309" s="594">
        <v>0</v>
      </c>
      <c r="H309" s="594">
        <v>13744</v>
      </c>
      <c r="I309" s="594">
        <v>13744</v>
      </c>
      <c r="J309" s="594">
        <v>13744</v>
      </c>
      <c r="K309" s="594">
        <v>0</v>
      </c>
      <c r="L309" s="1047"/>
      <c r="M309" s="1047"/>
      <c r="N309" s="1077"/>
    </row>
    <row r="310" spans="1:14" x14ac:dyDescent="0.25">
      <c r="A310" s="1069" t="s">
        <v>2131</v>
      </c>
      <c r="B310" s="1042" t="s">
        <v>2132</v>
      </c>
      <c r="C310" s="1042" t="s">
        <v>2129</v>
      </c>
      <c r="D310" s="1042" t="s">
        <v>2133</v>
      </c>
      <c r="E310" s="1044">
        <v>21904.2</v>
      </c>
      <c r="F310" s="604" t="s">
        <v>3</v>
      </c>
      <c r="G310" s="603">
        <f>SUM(G311:G314)</f>
        <v>0</v>
      </c>
      <c r="H310" s="603">
        <f t="shared" si="42"/>
        <v>21788</v>
      </c>
      <c r="I310" s="603">
        <f t="shared" si="42"/>
        <v>21460.400000000001</v>
      </c>
      <c r="J310" s="603">
        <f t="shared" si="42"/>
        <v>21460.400000000001</v>
      </c>
      <c r="K310" s="603">
        <f t="shared" si="42"/>
        <v>0</v>
      </c>
      <c r="L310" s="1047">
        <f>(J310+K310)/H310</f>
        <v>0.98496420047732702</v>
      </c>
      <c r="M310" s="1047">
        <v>0.98</v>
      </c>
      <c r="N310" s="1073" t="s">
        <v>2126</v>
      </c>
    </row>
    <row r="311" spans="1:14" x14ac:dyDescent="0.25">
      <c r="A311" s="1069"/>
      <c r="B311" s="1042"/>
      <c r="C311" s="1042"/>
      <c r="D311" s="1042"/>
      <c r="E311" s="1044"/>
      <c r="F311" s="600" t="s">
        <v>179</v>
      </c>
      <c r="G311" s="594">
        <v>0</v>
      </c>
      <c r="H311" s="594">
        <v>3968</v>
      </c>
      <c r="I311" s="611">
        <v>3908.4</v>
      </c>
      <c r="J311" s="611">
        <v>3908.4</v>
      </c>
      <c r="K311" s="594">
        <v>0</v>
      </c>
      <c r="L311" s="1047"/>
      <c r="M311" s="1047"/>
      <c r="N311" s="1077"/>
    </row>
    <row r="312" spans="1:14" x14ac:dyDescent="0.25">
      <c r="A312" s="1069"/>
      <c r="B312" s="1042"/>
      <c r="C312" s="1042"/>
      <c r="D312" s="1042"/>
      <c r="E312" s="1044"/>
      <c r="F312" s="600" t="s">
        <v>639</v>
      </c>
      <c r="G312" s="594">
        <v>0</v>
      </c>
      <c r="H312" s="594">
        <v>11579</v>
      </c>
      <c r="I312" s="611">
        <v>11404.9</v>
      </c>
      <c r="J312" s="611">
        <v>11404.9</v>
      </c>
      <c r="K312" s="594">
        <v>0</v>
      </c>
      <c r="L312" s="1047"/>
      <c r="M312" s="1047"/>
      <c r="N312" s="1077"/>
    </row>
    <row r="313" spans="1:14" x14ac:dyDescent="0.25">
      <c r="A313" s="1069"/>
      <c r="B313" s="1042"/>
      <c r="C313" s="1042"/>
      <c r="D313" s="1042"/>
      <c r="E313" s="1044"/>
      <c r="F313" s="600" t="s">
        <v>6</v>
      </c>
      <c r="G313" s="594">
        <v>0</v>
      </c>
      <c r="H313" s="594">
        <v>762</v>
      </c>
      <c r="I313" s="611">
        <v>750.5</v>
      </c>
      <c r="J313" s="611">
        <v>750.5</v>
      </c>
      <c r="K313" s="594">
        <v>0</v>
      </c>
      <c r="L313" s="1047"/>
      <c r="M313" s="1047"/>
      <c r="N313" s="1077"/>
    </row>
    <row r="314" spans="1:14" x14ac:dyDescent="0.25">
      <c r="A314" s="1069"/>
      <c r="B314" s="1042"/>
      <c r="C314" s="1042"/>
      <c r="D314" s="1042"/>
      <c r="E314" s="1044"/>
      <c r="F314" s="600" t="s">
        <v>7</v>
      </c>
      <c r="G314" s="594">
        <v>0</v>
      </c>
      <c r="H314" s="594">
        <v>5479</v>
      </c>
      <c r="I314" s="611">
        <v>5396.6</v>
      </c>
      <c r="J314" s="611">
        <v>5396.6</v>
      </c>
      <c r="K314" s="594">
        <v>0</v>
      </c>
      <c r="L314" s="1047"/>
      <c r="M314" s="1047"/>
      <c r="N314" s="1077"/>
    </row>
    <row r="315" spans="1:14" x14ac:dyDescent="0.25">
      <c r="A315" s="1078" t="s">
        <v>2134</v>
      </c>
      <c r="B315" s="1073" t="s">
        <v>1547</v>
      </c>
      <c r="C315" s="1073" t="s">
        <v>1548</v>
      </c>
      <c r="D315" s="1073" t="s">
        <v>2135</v>
      </c>
      <c r="E315" s="1044">
        <v>4484.7</v>
      </c>
      <c r="F315" s="604" t="s">
        <v>3</v>
      </c>
      <c r="G315" s="603">
        <f>SUM(G316:G317)</f>
        <v>0</v>
      </c>
      <c r="H315" s="603">
        <f t="shared" ref="H315:K318" si="43">SUM(H316:H317)</f>
        <v>4484.7</v>
      </c>
      <c r="I315" s="603">
        <f t="shared" si="43"/>
        <v>0</v>
      </c>
      <c r="J315" s="603">
        <f t="shared" si="43"/>
        <v>0</v>
      </c>
      <c r="K315" s="603">
        <f t="shared" si="43"/>
        <v>0</v>
      </c>
      <c r="L315" s="1047">
        <f>(J315+K315)/H315</f>
        <v>0</v>
      </c>
      <c r="M315" s="1047">
        <v>0</v>
      </c>
      <c r="N315" s="1073" t="s">
        <v>2136</v>
      </c>
    </row>
    <row r="316" spans="1:14" x14ac:dyDescent="0.25">
      <c r="A316" s="1078"/>
      <c r="B316" s="1073"/>
      <c r="C316" s="1073"/>
      <c r="D316" s="1073"/>
      <c r="E316" s="1044"/>
      <c r="F316" s="600" t="s">
        <v>179</v>
      </c>
      <c r="G316" s="594">
        <v>0</v>
      </c>
      <c r="H316" s="594">
        <v>4484.7</v>
      </c>
      <c r="I316" s="594">
        <v>0</v>
      </c>
      <c r="J316" s="594">
        <v>0</v>
      </c>
      <c r="K316" s="594">
        <v>0</v>
      </c>
      <c r="L316" s="1047"/>
      <c r="M316" s="1047"/>
      <c r="N316" s="1077"/>
    </row>
    <row r="317" spans="1:14" x14ac:dyDescent="0.25">
      <c r="A317" s="1078"/>
      <c r="B317" s="1073"/>
      <c r="C317" s="1073"/>
      <c r="D317" s="1073"/>
      <c r="E317" s="1044"/>
      <c r="F317" s="600" t="s">
        <v>7</v>
      </c>
      <c r="G317" s="594">
        <v>0</v>
      </c>
      <c r="H317" s="594">
        <v>0</v>
      </c>
      <c r="I317" s="594">
        <v>0</v>
      </c>
      <c r="J317" s="594">
        <v>0</v>
      </c>
      <c r="K317" s="594">
        <v>0</v>
      </c>
      <c r="L317" s="1047"/>
      <c r="M317" s="1047"/>
      <c r="N317" s="1077"/>
    </row>
    <row r="318" spans="1:14" x14ac:dyDescent="0.25">
      <c r="A318" s="1078" t="s">
        <v>1691</v>
      </c>
      <c r="B318" s="1073" t="s">
        <v>1550</v>
      </c>
      <c r="C318" s="1073" t="s">
        <v>1548</v>
      </c>
      <c r="D318" s="1073" t="s">
        <v>2137</v>
      </c>
      <c r="E318" s="1044">
        <v>11654.8</v>
      </c>
      <c r="F318" s="604" t="s">
        <v>3</v>
      </c>
      <c r="G318" s="603">
        <f>SUM(G319:G320)</f>
        <v>0</v>
      </c>
      <c r="H318" s="603">
        <f t="shared" si="43"/>
        <v>6330.1</v>
      </c>
      <c r="I318" s="603">
        <f t="shared" si="43"/>
        <v>0</v>
      </c>
      <c r="J318" s="603">
        <f t="shared" si="43"/>
        <v>0</v>
      </c>
      <c r="K318" s="603">
        <f t="shared" si="43"/>
        <v>0</v>
      </c>
      <c r="L318" s="1047">
        <f>(J318+K318)/H318</f>
        <v>0</v>
      </c>
      <c r="M318" s="1047">
        <v>0</v>
      </c>
      <c r="N318" s="1073" t="s">
        <v>2138</v>
      </c>
    </row>
    <row r="319" spans="1:14" x14ac:dyDescent="0.25">
      <c r="A319" s="1078"/>
      <c r="B319" s="1073"/>
      <c r="C319" s="1073"/>
      <c r="D319" s="1073"/>
      <c r="E319" s="1044"/>
      <c r="F319" s="600" t="s">
        <v>179</v>
      </c>
      <c r="G319" s="594">
        <v>0</v>
      </c>
      <c r="H319" s="594">
        <v>6330.1</v>
      </c>
      <c r="I319" s="594">
        <v>0</v>
      </c>
      <c r="J319" s="594">
        <v>0</v>
      </c>
      <c r="K319" s="594">
        <v>0</v>
      </c>
      <c r="L319" s="1047"/>
      <c r="M319" s="1047"/>
      <c r="N319" s="1077"/>
    </row>
    <row r="320" spans="1:14" x14ac:dyDescent="0.25">
      <c r="A320" s="1078"/>
      <c r="B320" s="1073"/>
      <c r="C320" s="1073"/>
      <c r="D320" s="1073"/>
      <c r="E320" s="1044"/>
      <c r="F320" s="600" t="s">
        <v>7</v>
      </c>
      <c r="G320" s="594">
        <v>0</v>
      </c>
      <c r="H320" s="594">
        <v>0</v>
      </c>
      <c r="I320" s="594">
        <v>0</v>
      </c>
      <c r="J320" s="594">
        <v>0</v>
      </c>
      <c r="K320" s="594">
        <v>0</v>
      </c>
      <c r="L320" s="1047"/>
      <c r="M320" s="1047"/>
      <c r="N320" s="1077"/>
    </row>
    <row r="321" spans="1:14" x14ac:dyDescent="0.25">
      <c r="A321" s="1078" t="s">
        <v>2139</v>
      </c>
      <c r="B321" s="1073" t="s">
        <v>2140</v>
      </c>
      <c r="C321" s="1073" t="s">
        <v>2141</v>
      </c>
      <c r="D321" s="1073" t="s">
        <v>2142</v>
      </c>
      <c r="E321" s="1044">
        <v>22709.4</v>
      </c>
      <c r="F321" s="604" t="s">
        <v>3</v>
      </c>
      <c r="G321" s="603">
        <f>SUM(G322:G325)</f>
        <v>0</v>
      </c>
      <c r="H321" s="603">
        <f t="shared" ref="H321:K321" si="44">SUM(H322:H325)</f>
        <v>21129</v>
      </c>
      <c r="I321" s="603">
        <f t="shared" si="44"/>
        <v>21129</v>
      </c>
      <c r="J321" s="603">
        <f t="shared" si="44"/>
        <v>21129</v>
      </c>
      <c r="K321" s="603">
        <f t="shared" si="44"/>
        <v>0</v>
      </c>
      <c r="L321" s="1047">
        <f>(J321+K321)/H321</f>
        <v>1</v>
      </c>
      <c r="M321" s="1047">
        <v>0.93</v>
      </c>
      <c r="N321" s="1073" t="s">
        <v>2126</v>
      </c>
    </row>
    <row r="322" spans="1:14" x14ac:dyDescent="0.25">
      <c r="A322" s="1078"/>
      <c r="B322" s="1073"/>
      <c r="C322" s="1073"/>
      <c r="D322" s="1073"/>
      <c r="E322" s="1044"/>
      <c r="F322" s="600" t="s">
        <v>179</v>
      </c>
      <c r="G322" s="594">
        <v>0</v>
      </c>
      <c r="H322" s="594">
        <v>9405</v>
      </c>
      <c r="I322" s="594">
        <v>9405</v>
      </c>
      <c r="J322" s="594">
        <v>9405</v>
      </c>
      <c r="K322" s="594">
        <v>0</v>
      </c>
      <c r="L322" s="1047"/>
      <c r="M322" s="1047"/>
      <c r="N322" s="1077"/>
    </row>
    <row r="323" spans="1:14" x14ac:dyDescent="0.25">
      <c r="A323" s="1078"/>
      <c r="B323" s="1073"/>
      <c r="C323" s="1073"/>
      <c r="D323" s="1073"/>
      <c r="E323" s="1044"/>
      <c r="F323" s="600" t="s">
        <v>639</v>
      </c>
      <c r="G323" s="594">
        <v>0</v>
      </c>
      <c r="H323" s="594">
        <v>11229</v>
      </c>
      <c r="I323" s="594">
        <v>11229</v>
      </c>
      <c r="J323" s="594">
        <v>11229</v>
      </c>
      <c r="K323" s="594">
        <v>0</v>
      </c>
      <c r="L323" s="1047"/>
      <c r="M323" s="1047"/>
      <c r="N323" s="1077"/>
    </row>
    <row r="324" spans="1:14" x14ac:dyDescent="0.25">
      <c r="A324" s="1078"/>
      <c r="B324" s="1073"/>
      <c r="C324" s="1073"/>
      <c r="D324" s="1073"/>
      <c r="E324" s="1044"/>
      <c r="F324" s="600" t="s">
        <v>6</v>
      </c>
      <c r="G324" s="594">
        <v>0</v>
      </c>
      <c r="H324" s="594">
        <v>495</v>
      </c>
      <c r="I324" s="594">
        <v>495</v>
      </c>
      <c r="J324" s="594">
        <v>495</v>
      </c>
      <c r="K324" s="594">
        <v>0</v>
      </c>
      <c r="L324" s="1047"/>
      <c r="M324" s="1047"/>
      <c r="N324" s="1077"/>
    </row>
    <row r="325" spans="1:14" x14ac:dyDescent="0.25">
      <c r="A325" s="1078"/>
      <c r="B325" s="1073"/>
      <c r="C325" s="1073"/>
      <c r="D325" s="1073"/>
      <c r="E325" s="1044"/>
      <c r="F325" s="600" t="s">
        <v>7</v>
      </c>
      <c r="G325" s="594">
        <v>0</v>
      </c>
      <c r="H325" s="594">
        <v>0</v>
      </c>
      <c r="I325" s="594">
        <v>0</v>
      </c>
      <c r="J325" s="594">
        <v>0</v>
      </c>
      <c r="K325" s="594">
        <v>0</v>
      </c>
      <c r="L325" s="1047"/>
      <c r="M325" s="1047"/>
      <c r="N325" s="1077"/>
    </row>
    <row r="326" spans="1:14" x14ac:dyDescent="0.25">
      <c r="A326" s="1078" t="s">
        <v>2143</v>
      </c>
      <c r="B326" s="1073" t="s">
        <v>2144</v>
      </c>
      <c r="C326" s="1073" t="s">
        <v>2145</v>
      </c>
      <c r="D326" s="1073" t="s">
        <v>2135</v>
      </c>
      <c r="E326" s="1044">
        <v>791.9</v>
      </c>
      <c r="F326" s="604" t="s">
        <v>3</v>
      </c>
      <c r="G326" s="603">
        <f>SUM(G327:G328)</f>
        <v>0</v>
      </c>
      <c r="H326" s="603">
        <f t="shared" ref="H326:K326" si="45">SUM(H327:H328)</f>
        <v>791.9</v>
      </c>
      <c r="I326" s="603">
        <f t="shared" si="45"/>
        <v>791.9</v>
      </c>
      <c r="J326" s="603">
        <f t="shared" si="45"/>
        <v>242.1</v>
      </c>
      <c r="K326" s="603">
        <f t="shared" si="45"/>
        <v>549.79999999999995</v>
      </c>
      <c r="L326" s="1047">
        <f>(J326+K326)/H326</f>
        <v>1</v>
      </c>
      <c r="M326" s="1047">
        <v>1</v>
      </c>
      <c r="N326" s="1073" t="s">
        <v>2146</v>
      </c>
    </row>
    <row r="327" spans="1:14" x14ac:dyDescent="0.25">
      <c r="A327" s="1078"/>
      <c r="B327" s="1073"/>
      <c r="C327" s="1073"/>
      <c r="D327" s="1073"/>
      <c r="E327" s="1044"/>
      <c r="F327" s="600" t="s">
        <v>179</v>
      </c>
      <c r="G327" s="594">
        <v>0</v>
      </c>
      <c r="H327" s="594">
        <v>791.9</v>
      </c>
      <c r="I327" s="594">
        <v>791.9</v>
      </c>
      <c r="J327" s="594">
        <v>242.1</v>
      </c>
      <c r="K327" s="594">
        <f>H327-J327</f>
        <v>549.79999999999995</v>
      </c>
      <c r="L327" s="1047"/>
      <c r="M327" s="1047"/>
      <c r="N327" s="1077"/>
    </row>
    <row r="328" spans="1:14" x14ac:dyDescent="0.25">
      <c r="A328" s="1078"/>
      <c r="B328" s="1073"/>
      <c r="C328" s="1073"/>
      <c r="D328" s="1073"/>
      <c r="E328" s="1044"/>
      <c r="F328" s="600" t="s">
        <v>7</v>
      </c>
      <c r="G328" s="594">
        <v>0</v>
      </c>
      <c r="H328" s="594">
        <v>0</v>
      </c>
      <c r="I328" s="594">
        <v>0</v>
      </c>
      <c r="J328" s="594">
        <v>0</v>
      </c>
      <c r="K328" s="594">
        <v>0</v>
      </c>
      <c r="L328" s="1047"/>
      <c r="M328" s="1047"/>
      <c r="N328" s="1077"/>
    </row>
    <row r="329" spans="1:14" x14ac:dyDescent="0.25">
      <c r="A329" s="1078" t="s">
        <v>2147</v>
      </c>
      <c r="B329" s="1073" t="s">
        <v>2148</v>
      </c>
      <c r="C329" s="1073" t="s">
        <v>2149</v>
      </c>
      <c r="D329" s="1073" t="s">
        <v>2150</v>
      </c>
      <c r="E329" s="1044">
        <v>308910</v>
      </c>
      <c r="F329" s="604" t="s">
        <v>3</v>
      </c>
      <c r="G329" s="603">
        <f>SUM(G330:G331)</f>
        <v>0</v>
      </c>
      <c r="H329" s="603">
        <f t="shared" ref="H329:K329" si="46">SUM(H330:H331)</f>
        <v>308910</v>
      </c>
      <c r="I329" s="603">
        <f t="shared" si="46"/>
        <v>308910</v>
      </c>
      <c r="J329" s="603">
        <f t="shared" si="46"/>
        <v>308910</v>
      </c>
      <c r="K329" s="603">
        <f t="shared" si="46"/>
        <v>0</v>
      </c>
      <c r="L329" s="1047">
        <f>(J329+K329)/H329</f>
        <v>1</v>
      </c>
      <c r="M329" s="1047">
        <v>1</v>
      </c>
      <c r="N329" s="1073" t="s">
        <v>2151</v>
      </c>
    </row>
    <row r="330" spans="1:14" x14ac:dyDescent="0.25">
      <c r="A330" s="1078"/>
      <c r="B330" s="1073"/>
      <c r="C330" s="1073"/>
      <c r="D330" s="1073"/>
      <c r="E330" s="1044"/>
      <c r="F330" s="600" t="s">
        <v>179</v>
      </c>
      <c r="G330" s="594">
        <v>0</v>
      </c>
      <c r="H330" s="594">
        <v>308910</v>
      </c>
      <c r="I330" s="594">
        <v>308910</v>
      </c>
      <c r="J330" s="594">
        <v>308910</v>
      </c>
      <c r="K330" s="594">
        <v>0</v>
      </c>
      <c r="L330" s="1047"/>
      <c r="M330" s="1047"/>
      <c r="N330" s="1077"/>
    </row>
    <row r="331" spans="1:14" x14ac:dyDescent="0.25">
      <c r="A331" s="1078"/>
      <c r="B331" s="1073"/>
      <c r="C331" s="1073"/>
      <c r="D331" s="1073"/>
      <c r="E331" s="1044"/>
      <c r="F331" s="600" t="s">
        <v>7</v>
      </c>
      <c r="G331" s="594">
        <v>0</v>
      </c>
      <c r="H331" s="594">
        <v>0</v>
      </c>
      <c r="I331" s="594">
        <v>0</v>
      </c>
      <c r="J331" s="594">
        <v>0</v>
      </c>
      <c r="K331" s="594">
        <v>0</v>
      </c>
      <c r="L331" s="1047"/>
      <c r="M331" s="1047"/>
      <c r="N331" s="1077"/>
    </row>
    <row r="332" spans="1:14" x14ac:dyDescent="0.25">
      <c r="A332" s="1078" t="s">
        <v>2152</v>
      </c>
      <c r="B332" s="1073" t="s">
        <v>2153</v>
      </c>
      <c r="C332" s="1073" t="s">
        <v>2149</v>
      </c>
      <c r="D332" s="1073" t="s">
        <v>2150</v>
      </c>
      <c r="E332" s="1044">
        <v>116990</v>
      </c>
      <c r="F332" s="604" t="s">
        <v>3</v>
      </c>
      <c r="G332" s="603">
        <f>SUM(G333:G334)</f>
        <v>0</v>
      </c>
      <c r="H332" s="603">
        <f t="shared" ref="H332:K332" si="47">SUM(H333:H334)</f>
        <v>116990</v>
      </c>
      <c r="I332" s="603">
        <f t="shared" si="47"/>
        <v>116990</v>
      </c>
      <c r="J332" s="603">
        <f t="shared" si="47"/>
        <v>116990</v>
      </c>
      <c r="K332" s="603">
        <f t="shared" si="47"/>
        <v>0</v>
      </c>
      <c r="L332" s="1047">
        <f>(J332+K332)/H332</f>
        <v>1</v>
      </c>
      <c r="M332" s="1047">
        <v>1</v>
      </c>
      <c r="N332" s="1073" t="s">
        <v>2154</v>
      </c>
    </row>
    <row r="333" spans="1:14" x14ac:dyDescent="0.25">
      <c r="A333" s="1078"/>
      <c r="B333" s="1073"/>
      <c r="C333" s="1073"/>
      <c r="D333" s="1073"/>
      <c r="E333" s="1044"/>
      <c r="F333" s="600" t="s">
        <v>179</v>
      </c>
      <c r="G333" s="594">
        <v>0</v>
      </c>
      <c r="H333" s="594">
        <v>116990</v>
      </c>
      <c r="I333" s="594">
        <v>116990</v>
      </c>
      <c r="J333" s="594">
        <v>116990</v>
      </c>
      <c r="K333" s="594">
        <v>0</v>
      </c>
      <c r="L333" s="1047"/>
      <c r="M333" s="1047"/>
      <c r="N333" s="1077"/>
    </row>
    <row r="334" spans="1:14" x14ac:dyDescent="0.25">
      <c r="A334" s="1078"/>
      <c r="B334" s="1073"/>
      <c r="C334" s="1073"/>
      <c r="D334" s="1073"/>
      <c r="E334" s="1044"/>
      <c r="F334" s="600" t="s">
        <v>7</v>
      </c>
      <c r="G334" s="594">
        <v>0</v>
      </c>
      <c r="H334" s="594">
        <v>0</v>
      </c>
      <c r="I334" s="594">
        <v>0</v>
      </c>
      <c r="J334" s="594">
        <v>0</v>
      </c>
      <c r="K334" s="594">
        <v>0</v>
      </c>
      <c r="L334" s="1047"/>
      <c r="M334" s="1047"/>
      <c r="N334" s="1077"/>
    </row>
    <row r="335" spans="1:14" x14ac:dyDescent="0.25">
      <c r="A335" s="1078" t="s">
        <v>2155</v>
      </c>
      <c r="B335" s="1073" t="s">
        <v>2156</v>
      </c>
      <c r="C335" s="1073" t="s">
        <v>2149</v>
      </c>
      <c r="D335" s="1073" t="s">
        <v>2150</v>
      </c>
      <c r="E335" s="1044">
        <v>235410</v>
      </c>
      <c r="F335" s="604" t="s">
        <v>3</v>
      </c>
      <c r="G335" s="603">
        <f>SUM(G336:G337)</f>
        <v>0</v>
      </c>
      <c r="H335" s="603">
        <f t="shared" ref="H335:K335" si="48">SUM(H336:H337)</f>
        <v>235410</v>
      </c>
      <c r="I335" s="603">
        <f t="shared" si="48"/>
        <v>235410</v>
      </c>
      <c r="J335" s="603">
        <f t="shared" si="48"/>
        <v>235410</v>
      </c>
      <c r="K335" s="603">
        <f t="shared" si="48"/>
        <v>0</v>
      </c>
      <c r="L335" s="1047">
        <f>(J335+K335)/H335</f>
        <v>1</v>
      </c>
      <c r="M335" s="1047">
        <v>1</v>
      </c>
      <c r="N335" s="1073" t="s">
        <v>2157</v>
      </c>
    </row>
    <row r="336" spans="1:14" x14ac:dyDescent="0.25">
      <c r="A336" s="1078"/>
      <c r="B336" s="1073"/>
      <c r="C336" s="1073"/>
      <c r="D336" s="1073"/>
      <c r="E336" s="1044"/>
      <c r="F336" s="600" t="s">
        <v>179</v>
      </c>
      <c r="G336" s="594">
        <v>0</v>
      </c>
      <c r="H336" s="594">
        <v>235410</v>
      </c>
      <c r="I336" s="594">
        <v>235410</v>
      </c>
      <c r="J336" s="594">
        <v>235410</v>
      </c>
      <c r="K336" s="594">
        <v>0</v>
      </c>
      <c r="L336" s="1047"/>
      <c r="M336" s="1047"/>
      <c r="N336" s="1077"/>
    </row>
    <row r="337" spans="1:14" x14ac:dyDescent="0.25">
      <c r="A337" s="1078"/>
      <c r="B337" s="1073"/>
      <c r="C337" s="1073"/>
      <c r="D337" s="1073"/>
      <c r="E337" s="1044"/>
      <c r="F337" s="600" t="s">
        <v>7</v>
      </c>
      <c r="G337" s="594">
        <v>0</v>
      </c>
      <c r="H337" s="594">
        <v>0</v>
      </c>
      <c r="I337" s="594">
        <v>0</v>
      </c>
      <c r="J337" s="594">
        <v>0</v>
      </c>
      <c r="K337" s="594">
        <v>0</v>
      </c>
      <c r="L337" s="1047"/>
      <c r="M337" s="1047"/>
      <c r="N337" s="1077"/>
    </row>
    <row r="338" spans="1:14" x14ac:dyDescent="0.25">
      <c r="A338" s="1078" t="s">
        <v>2158</v>
      </c>
      <c r="B338" s="1073" t="s">
        <v>2159</v>
      </c>
      <c r="C338" s="1073" t="s">
        <v>2149</v>
      </c>
      <c r="D338" s="1073" t="s">
        <v>2150</v>
      </c>
      <c r="E338" s="1044">
        <v>121190</v>
      </c>
      <c r="F338" s="604" t="s">
        <v>3</v>
      </c>
      <c r="G338" s="603">
        <f>SUM(G339:G340)</f>
        <v>0</v>
      </c>
      <c r="H338" s="603">
        <f t="shared" ref="H338:K338" si="49">SUM(H339:H340)</f>
        <v>121190</v>
      </c>
      <c r="I338" s="603">
        <f t="shared" si="49"/>
        <v>121190</v>
      </c>
      <c r="J338" s="603">
        <f t="shared" si="49"/>
        <v>121190</v>
      </c>
      <c r="K338" s="603">
        <f t="shared" si="49"/>
        <v>0</v>
      </c>
      <c r="L338" s="1047">
        <f>(J338+K338)/H338</f>
        <v>1</v>
      </c>
      <c r="M338" s="1047">
        <v>1</v>
      </c>
      <c r="N338" s="1073" t="s">
        <v>2160</v>
      </c>
    </row>
    <row r="339" spans="1:14" x14ac:dyDescent="0.25">
      <c r="A339" s="1078"/>
      <c r="B339" s="1073"/>
      <c r="C339" s="1073"/>
      <c r="D339" s="1073"/>
      <c r="E339" s="1044"/>
      <c r="F339" s="600" t="s">
        <v>179</v>
      </c>
      <c r="G339" s="594">
        <v>0</v>
      </c>
      <c r="H339" s="594">
        <v>121190</v>
      </c>
      <c r="I339" s="594">
        <v>121190</v>
      </c>
      <c r="J339" s="594">
        <v>121190</v>
      </c>
      <c r="K339" s="594">
        <v>0</v>
      </c>
      <c r="L339" s="1047"/>
      <c r="M339" s="1047"/>
      <c r="N339" s="1077"/>
    </row>
    <row r="340" spans="1:14" x14ac:dyDescent="0.25">
      <c r="A340" s="1078"/>
      <c r="B340" s="1073"/>
      <c r="C340" s="1073"/>
      <c r="D340" s="1073"/>
      <c r="E340" s="1044"/>
      <c r="F340" s="600" t="s">
        <v>7</v>
      </c>
      <c r="G340" s="594">
        <v>0</v>
      </c>
      <c r="H340" s="594">
        <v>0</v>
      </c>
      <c r="I340" s="594">
        <v>0</v>
      </c>
      <c r="J340" s="594">
        <v>0</v>
      </c>
      <c r="K340" s="594">
        <v>0</v>
      </c>
      <c r="L340" s="1047"/>
      <c r="M340" s="1047"/>
      <c r="N340" s="1077"/>
    </row>
    <row r="341" spans="1:14" x14ac:dyDescent="0.25">
      <c r="A341" s="1078" t="s">
        <v>2161</v>
      </c>
      <c r="B341" s="1073" t="s">
        <v>2162</v>
      </c>
      <c r="C341" s="1073" t="s">
        <v>2149</v>
      </c>
      <c r="D341" s="1073" t="s">
        <v>2150</v>
      </c>
      <c r="E341" s="1044">
        <v>127600</v>
      </c>
      <c r="F341" s="604" t="s">
        <v>3</v>
      </c>
      <c r="G341" s="603">
        <f>SUM(G342:G343)</f>
        <v>0</v>
      </c>
      <c r="H341" s="603">
        <f t="shared" ref="H341:K341" si="50">SUM(H342:H343)</f>
        <v>127600</v>
      </c>
      <c r="I341" s="603">
        <f t="shared" si="50"/>
        <v>127600</v>
      </c>
      <c r="J341" s="603">
        <f t="shared" si="50"/>
        <v>127600</v>
      </c>
      <c r="K341" s="603">
        <f t="shared" si="50"/>
        <v>0</v>
      </c>
      <c r="L341" s="1047">
        <f>(J341+K341)/H341</f>
        <v>1</v>
      </c>
      <c r="M341" s="1047">
        <v>1</v>
      </c>
      <c r="N341" s="1073" t="s">
        <v>2163</v>
      </c>
    </row>
    <row r="342" spans="1:14" x14ac:dyDescent="0.25">
      <c r="A342" s="1078"/>
      <c r="B342" s="1073"/>
      <c r="C342" s="1073"/>
      <c r="D342" s="1073"/>
      <c r="E342" s="1044"/>
      <c r="F342" s="600" t="s">
        <v>179</v>
      </c>
      <c r="G342" s="594">
        <v>0</v>
      </c>
      <c r="H342" s="594">
        <v>127600</v>
      </c>
      <c r="I342" s="594">
        <v>127600</v>
      </c>
      <c r="J342" s="594">
        <v>127600</v>
      </c>
      <c r="K342" s="594">
        <v>0</v>
      </c>
      <c r="L342" s="1047"/>
      <c r="M342" s="1047"/>
      <c r="N342" s="1077"/>
    </row>
    <row r="343" spans="1:14" x14ac:dyDescent="0.25">
      <c r="A343" s="1078"/>
      <c r="B343" s="1073"/>
      <c r="C343" s="1073"/>
      <c r="D343" s="1073"/>
      <c r="E343" s="1044"/>
      <c r="F343" s="600" t="s">
        <v>7</v>
      </c>
      <c r="G343" s="594">
        <v>0</v>
      </c>
      <c r="H343" s="594">
        <v>0</v>
      </c>
      <c r="I343" s="594">
        <v>0</v>
      </c>
      <c r="J343" s="594">
        <v>0</v>
      </c>
      <c r="K343" s="594">
        <v>0</v>
      </c>
      <c r="L343" s="1047"/>
      <c r="M343" s="1047"/>
      <c r="N343" s="1077"/>
    </row>
    <row r="344" spans="1:14" x14ac:dyDescent="0.25">
      <c r="A344" s="1078" t="s">
        <v>2164</v>
      </c>
      <c r="B344" s="1073" t="s">
        <v>2165</v>
      </c>
      <c r="C344" s="1073" t="s">
        <v>2149</v>
      </c>
      <c r="D344" s="1073" t="s">
        <v>2150</v>
      </c>
      <c r="E344" s="1044">
        <v>233197.3</v>
      </c>
      <c r="F344" s="604" t="s">
        <v>3</v>
      </c>
      <c r="G344" s="603">
        <f>SUM(G345:G346)</f>
        <v>0</v>
      </c>
      <c r="H344" s="603">
        <f t="shared" ref="H344:K344" si="51">SUM(H345:H346)</f>
        <v>233197.3</v>
      </c>
      <c r="I344" s="603">
        <f t="shared" si="51"/>
        <v>233197.3</v>
      </c>
      <c r="J344" s="603">
        <f t="shared" si="51"/>
        <v>233197.3</v>
      </c>
      <c r="K344" s="603">
        <f t="shared" si="51"/>
        <v>0</v>
      </c>
      <c r="L344" s="1047">
        <f>I344/H344</f>
        <v>1</v>
      </c>
      <c r="M344" s="1047">
        <v>1</v>
      </c>
      <c r="N344" s="1073" t="s">
        <v>2166</v>
      </c>
    </row>
    <row r="345" spans="1:14" x14ac:dyDescent="0.25">
      <c r="A345" s="1078"/>
      <c r="B345" s="1073"/>
      <c r="C345" s="1073"/>
      <c r="D345" s="1073"/>
      <c r="E345" s="1044"/>
      <c r="F345" s="600" t="s">
        <v>179</v>
      </c>
      <c r="G345" s="594">
        <v>0</v>
      </c>
      <c r="H345" s="594">
        <v>233197.3</v>
      </c>
      <c r="I345" s="594">
        <v>233197.3</v>
      </c>
      <c r="J345" s="594">
        <v>233197.3</v>
      </c>
      <c r="K345" s="594">
        <v>0</v>
      </c>
      <c r="L345" s="1047"/>
      <c r="M345" s="1047"/>
      <c r="N345" s="1077"/>
    </row>
    <row r="346" spans="1:14" x14ac:dyDescent="0.25">
      <c r="A346" s="1078"/>
      <c r="B346" s="1073"/>
      <c r="C346" s="1073"/>
      <c r="D346" s="1073"/>
      <c r="E346" s="1044"/>
      <c r="F346" s="600" t="s">
        <v>7</v>
      </c>
      <c r="G346" s="594">
        <v>0</v>
      </c>
      <c r="H346" s="594">
        <v>0</v>
      </c>
      <c r="I346" s="594">
        <v>0</v>
      </c>
      <c r="J346" s="594">
        <v>0</v>
      </c>
      <c r="K346" s="594">
        <v>0</v>
      </c>
      <c r="L346" s="1047"/>
      <c r="M346" s="1047"/>
      <c r="N346" s="1077"/>
    </row>
    <row r="347" spans="1:14" x14ac:dyDescent="0.25">
      <c r="A347" s="1078" t="s">
        <v>2167</v>
      </c>
      <c r="B347" s="1073" t="s">
        <v>2168</v>
      </c>
      <c r="C347" s="1073" t="s">
        <v>2169</v>
      </c>
      <c r="D347" s="1073" t="s">
        <v>2170</v>
      </c>
      <c r="E347" s="1044">
        <v>47800.78</v>
      </c>
      <c r="F347" s="604" t="s">
        <v>3</v>
      </c>
      <c r="G347" s="603">
        <f>SUM(G348:G351)</f>
        <v>0</v>
      </c>
      <c r="H347" s="603">
        <f t="shared" ref="H347:K347" si="52">SUM(H348:H351)</f>
        <v>47800.800000000003</v>
      </c>
      <c r="I347" s="603">
        <f t="shared" si="52"/>
        <v>46415.5</v>
      </c>
      <c r="J347" s="603">
        <f t="shared" si="52"/>
        <v>0</v>
      </c>
      <c r="K347" s="603">
        <f t="shared" si="52"/>
        <v>0</v>
      </c>
      <c r="L347" s="1047">
        <f>(J347+K347)/H347</f>
        <v>0</v>
      </c>
      <c r="M347" s="1047">
        <v>0</v>
      </c>
      <c r="N347" s="1073" t="s">
        <v>2171</v>
      </c>
    </row>
    <row r="348" spans="1:14" x14ac:dyDescent="0.25">
      <c r="A348" s="1078"/>
      <c r="B348" s="1073"/>
      <c r="C348" s="1073"/>
      <c r="D348" s="1073"/>
      <c r="E348" s="1044"/>
      <c r="F348" s="600" t="s">
        <v>179</v>
      </c>
      <c r="G348" s="594">
        <v>0</v>
      </c>
      <c r="H348" s="594">
        <v>37858.199999999997</v>
      </c>
      <c r="I348" s="594">
        <v>37858.199999999997</v>
      </c>
      <c r="J348" s="594">
        <v>0</v>
      </c>
      <c r="K348" s="594">
        <v>0</v>
      </c>
      <c r="L348" s="1047"/>
      <c r="M348" s="1047"/>
      <c r="N348" s="1077"/>
    </row>
    <row r="349" spans="1:14" x14ac:dyDescent="0.25">
      <c r="A349" s="1078"/>
      <c r="B349" s="1073"/>
      <c r="C349" s="1073"/>
      <c r="D349" s="1073"/>
      <c r="E349" s="1044"/>
      <c r="F349" s="600" t="s">
        <v>639</v>
      </c>
      <c r="G349" s="594">
        <v>0</v>
      </c>
      <c r="H349" s="594">
        <v>0</v>
      </c>
      <c r="I349" s="594">
        <v>0</v>
      </c>
      <c r="J349" s="594">
        <v>0</v>
      </c>
      <c r="K349" s="594">
        <v>0</v>
      </c>
      <c r="L349" s="1047"/>
      <c r="M349" s="1047"/>
      <c r="N349" s="1077"/>
    </row>
    <row r="350" spans="1:14" x14ac:dyDescent="0.25">
      <c r="A350" s="1078"/>
      <c r="B350" s="1073"/>
      <c r="C350" s="1073"/>
      <c r="D350" s="1073"/>
      <c r="E350" s="1044"/>
      <c r="F350" s="600" t="s">
        <v>6</v>
      </c>
      <c r="G350" s="594">
        <v>0</v>
      </c>
      <c r="H350" s="594">
        <v>382.4</v>
      </c>
      <c r="I350" s="594">
        <v>382.4</v>
      </c>
      <c r="J350" s="594">
        <v>0</v>
      </c>
      <c r="K350" s="594">
        <v>0</v>
      </c>
      <c r="L350" s="1047"/>
      <c r="M350" s="1047"/>
      <c r="N350" s="1077"/>
    </row>
    <row r="351" spans="1:14" x14ac:dyDescent="0.25">
      <c r="A351" s="1078"/>
      <c r="B351" s="1073"/>
      <c r="C351" s="1073"/>
      <c r="D351" s="1073"/>
      <c r="E351" s="1044"/>
      <c r="F351" s="600" t="s">
        <v>7</v>
      </c>
      <c r="G351" s="594">
        <v>0</v>
      </c>
      <c r="H351" s="594">
        <v>9560.2000000000007</v>
      </c>
      <c r="I351" s="594">
        <v>8174.9</v>
      </c>
      <c r="J351" s="594">
        <v>0</v>
      </c>
      <c r="K351" s="594">
        <v>0</v>
      </c>
      <c r="L351" s="1047"/>
      <c r="M351" s="1047"/>
      <c r="N351" s="1077"/>
    </row>
    <row r="352" spans="1:14" x14ac:dyDescent="0.25">
      <c r="A352" s="1078" t="s">
        <v>2172</v>
      </c>
      <c r="B352" s="1073" t="s">
        <v>2168</v>
      </c>
      <c r="C352" s="1073" t="s">
        <v>2169</v>
      </c>
      <c r="D352" s="1073" t="s">
        <v>2170</v>
      </c>
      <c r="E352" s="1044">
        <v>28311.3</v>
      </c>
      <c r="F352" s="604" t="s">
        <v>3</v>
      </c>
      <c r="G352" s="603">
        <f>SUM(G353:G356)</f>
        <v>0</v>
      </c>
      <c r="H352" s="603">
        <f t="shared" ref="H352:K352" si="53">SUM(H353:H356)</f>
        <v>28311.3</v>
      </c>
      <c r="I352" s="603">
        <f t="shared" si="53"/>
        <v>42377.3</v>
      </c>
      <c r="J352" s="603">
        <f t="shared" si="53"/>
        <v>0</v>
      </c>
      <c r="K352" s="603">
        <f t="shared" si="53"/>
        <v>0</v>
      </c>
      <c r="L352" s="1047">
        <f>(J352+K352)/H352</f>
        <v>0</v>
      </c>
      <c r="M352" s="1047">
        <v>0</v>
      </c>
      <c r="N352" s="1073" t="s">
        <v>2173</v>
      </c>
    </row>
    <row r="353" spans="1:14" x14ac:dyDescent="0.25">
      <c r="A353" s="1078"/>
      <c r="B353" s="1073"/>
      <c r="C353" s="1073"/>
      <c r="D353" s="1073"/>
      <c r="E353" s="1044"/>
      <c r="F353" s="600" t="s">
        <v>179</v>
      </c>
      <c r="G353" s="594">
        <v>0</v>
      </c>
      <c r="H353" s="594">
        <v>22422.5</v>
      </c>
      <c r="I353" s="594">
        <v>22422.5</v>
      </c>
      <c r="J353" s="594">
        <v>0</v>
      </c>
      <c r="K353" s="594">
        <v>0</v>
      </c>
      <c r="L353" s="1047"/>
      <c r="M353" s="1047"/>
      <c r="N353" s="1077"/>
    </row>
    <row r="354" spans="1:14" x14ac:dyDescent="0.25">
      <c r="A354" s="1078"/>
      <c r="B354" s="1073"/>
      <c r="C354" s="1073"/>
      <c r="D354" s="1073"/>
      <c r="E354" s="1044"/>
      <c r="F354" s="600" t="s">
        <v>639</v>
      </c>
      <c r="G354" s="594">
        <v>0</v>
      </c>
      <c r="H354" s="594">
        <v>0</v>
      </c>
      <c r="I354" s="594">
        <v>0</v>
      </c>
      <c r="J354" s="594">
        <v>0</v>
      </c>
      <c r="K354" s="594">
        <v>0</v>
      </c>
      <c r="L354" s="1047"/>
      <c r="M354" s="1047"/>
      <c r="N354" s="1077"/>
    </row>
    <row r="355" spans="1:14" x14ac:dyDescent="0.25">
      <c r="A355" s="1078"/>
      <c r="B355" s="1073"/>
      <c r="C355" s="1073"/>
      <c r="D355" s="1073"/>
      <c r="E355" s="1044"/>
      <c r="F355" s="600" t="s">
        <v>6</v>
      </c>
      <c r="G355" s="594">
        <v>0</v>
      </c>
      <c r="H355" s="594">
        <v>226.5</v>
      </c>
      <c r="I355" s="594">
        <v>226.5</v>
      </c>
      <c r="J355" s="594">
        <v>0</v>
      </c>
      <c r="K355" s="594">
        <v>0</v>
      </c>
      <c r="L355" s="1047"/>
      <c r="M355" s="1047"/>
      <c r="N355" s="1077"/>
    </row>
    <row r="356" spans="1:14" x14ac:dyDescent="0.25">
      <c r="A356" s="1078"/>
      <c r="B356" s="1073"/>
      <c r="C356" s="1073"/>
      <c r="D356" s="1073"/>
      <c r="E356" s="1044"/>
      <c r="F356" s="600" t="s">
        <v>7</v>
      </c>
      <c r="G356" s="594">
        <v>0</v>
      </c>
      <c r="H356" s="594">
        <v>5662.3</v>
      </c>
      <c r="I356" s="594">
        <v>19728.3</v>
      </c>
      <c r="J356" s="594">
        <v>0</v>
      </c>
      <c r="K356" s="594">
        <v>0</v>
      </c>
      <c r="L356" s="1047"/>
      <c r="M356" s="1047"/>
      <c r="N356" s="1077"/>
    </row>
    <row r="357" spans="1:14" x14ac:dyDescent="0.25">
      <c r="A357" s="1078" t="s">
        <v>2174</v>
      </c>
      <c r="B357" s="1073" t="s">
        <v>2175</v>
      </c>
      <c r="C357" s="1073" t="s">
        <v>2176</v>
      </c>
      <c r="D357" s="1073" t="s">
        <v>2170</v>
      </c>
      <c r="E357" s="1044">
        <v>26708.94</v>
      </c>
      <c r="F357" s="604" t="s">
        <v>3</v>
      </c>
      <c r="G357" s="603">
        <f>SUM(G358:G361)</f>
        <v>0</v>
      </c>
      <c r="H357" s="603">
        <f t="shared" ref="H357:K357" si="54">SUM(H358:H361)</f>
        <v>26709</v>
      </c>
      <c r="I357" s="603">
        <f t="shared" si="54"/>
        <v>33242.199999999997</v>
      </c>
      <c r="J357" s="603">
        <f t="shared" si="54"/>
        <v>0</v>
      </c>
      <c r="K357" s="603">
        <f t="shared" si="54"/>
        <v>0</v>
      </c>
      <c r="L357" s="1047">
        <f>(J357+K357)/H357</f>
        <v>0</v>
      </c>
      <c r="M357" s="1047">
        <v>0</v>
      </c>
      <c r="N357" s="1073" t="s">
        <v>2171</v>
      </c>
    </row>
    <row r="358" spans="1:14" x14ac:dyDescent="0.25">
      <c r="A358" s="1078"/>
      <c r="B358" s="1073"/>
      <c r="C358" s="1073"/>
      <c r="D358" s="1073"/>
      <c r="E358" s="1044"/>
      <c r="F358" s="600" t="s">
        <v>179</v>
      </c>
      <c r="G358" s="594">
        <v>0</v>
      </c>
      <c r="H358" s="594">
        <v>21153.5</v>
      </c>
      <c r="I358" s="594">
        <v>21153.5</v>
      </c>
      <c r="J358" s="594">
        <v>0</v>
      </c>
      <c r="K358" s="594">
        <v>0</v>
      </c>
      <c r="L358" s="1047"/>
      <c r="M358" s="1047"/>
      <c r="N358" s="1077"/>
    </row>
    <row r="359" spans="1:14" x14ac:dyDescent="0.25">
      <c r="A359" s="1078"/>
      <c r="B359" s="1073"/>
      <c r="C359" s="1073"/>
      <c r="D359" s="1073"/>
      <c r="E359" s="1044"/>
      <c r="F359" s="600" t="s">
        <v>639</v>
      </c>
      <c r="G359" s="594">
        <v>0</v>
      </c>
      <c r="H359" s="594">
        <v>0</v>
      </c>
      <c r="I359" s="594">
        <v>0</v>
      </c>
      <c r="J359" s="594">
        <v>0</v>
      </c>
      <c r="K359" s="594">
        <v>0</v>
      </c>
      <c r="L359" s="1047"/>
      <c r="M359" s="1047"/>
      <c r="N359" s="1077"/>
    </row>
    <row r="360" spans="1:14" x14ac:dyDescent="0.25">
      <c r="A360" s="1078"/>
      <c r="B360" s="1073"/>
      <c r="C360" s="1073"/>
      <c r="D360" s="1073"/>
      <c r="E360" s="1044"/>
      <c r="F360" s="600" t="s">
        <v>6</v>
      </c>
      <c r="G360" s="594">
        <v>0</v>
      </c>
      <c r="H360" s="594">
        <v>213.7</v>
      </c>
      <c r="I360" s="594">
        <v>213.7</v>
      </c>
      <c r="J360" s="594">
        <v>0</v>
      </c>
      <c r="K360" s="594">
        <v>0</v>
      </c>
      <c r="L360" s="1047"/>
      <c r="M360" s="1047"/>
      <c r="N360" s="1077"/>
    </row>
    <row r="361" spans="1:14" x14ac:dyDescent="0.25">
      <c r="A361" s="1078"/>
      <c r="B361" s="1073"/>
      <c r="C361" s="1073"/>
      <c r="D361" s="1073"/>
      <c r="E361" s="1044"/>
      <c r="F361" s="600" t="s">
        <v>7</v>
      </c>
      <c r="G361" s="594">
        <v>0</v>
      </c>
      <c r="H361" s="594">
        <v>5341.8</v>
      </c>
      <c r="I361" s="594">
        <v>11875</v>
      </c>
      <c r="J361" s="594">
        <v>0</v>
      </c>
      <c r="K361" s="594">
        <v>0</v>
      </c>
      <c r="L361" s="1047"/>
      <c r="M361" s="1047"/>
      <c r="N361" s="1077"/>
    </row>
    <row r="362" spans="1:14" ht="21" x14ac:dyDescent="0.25">
      <c r="A362" s="935" t="s">
        <v>1207</v>
      </c>
      <c r="B362" s="1079"/>
      <c r="C362" s="1079"/>
      <c r="D362" s="1079"/>
      <c r="E362" s="1079"/>
      <c r="F362" s="586" t="s">
        <v>3</v>
      </c>
      <c r="G362" s="612">
        <f>SUM(G364)</f>
        <v>1352847.59</v>
      </c>
      <c r="H362" s="612">
        <f>SUM(H363:H364)</f>
        <v>16723.2</v>
      </c>
      <c r="I362" s="612">
        <f>SUM(I363:I364)</f>
        <v>0</v>
      </c>
      <c r="J362" s="612">
        <f>SUM(J363:J364)</f>
        <v>0</v>
      </c>
      <c r="K362" s="612">
        <v>0</v>
      </c>
      <c r="L362" s="613">
        <f>J362/H362</f>
        <v>0</v>
      </c>
      <c r="M362" s="1080"/>
      <c r="N362" s="1081"/>
    </row>
    <row r="363" spans="1:14" x14ac:dyDescent="0.25">
      <c r="A363" s="935"/>
      <c r="B363" s="1079"/>
      <c r="C363" s="1079"/>
      <c r="D363" s="1079"/>
      <c r="E363" s="1079"/>
      <c r="F363" s="589" t="s">
        <v>4</v>
      </c>
      <c r="G363" s="612">
        <v>0</v>
      </c>
      <c r="H363" s="612">
        <f>H367</f>
        <v>0</v>
      </c>
      <c r="I363" s="612">
        <f>I367</f>
        <v>0</v>
      </c>
      <c r="J363" s="612">
        <f>J367</f>
        <v>0</v>
      </c>
      <c r="K363" s="612">
        <v>0</v>
      </c>
      <c r="L363" s="613">
        <v>0</v>
      </c>
      <c r="M363" s="1080"/>
      <c r="N363" s="1081"/>
    </row>
    <row r="364" spans="1:14" x14ac:dyDescent="0.25">
      <c r="A364" s="1079"/>
      <c r="B364" s="1079"/>
      <c r="C364" s="1079"/>
      <c r="D364" s="1079"/>
      <c r="E364" s="1079"/>
      <c r="F364" s="589" t="s">
        <v>7</v>
      </c>
      <c r="G364" s="614">
        <f>G370</f>
        <v>1352847.59</v>
      </c>
      <c r="H364" s="614">
        <f>SUM(H370,)</f>
        <v>16723.2</v>
      </c>
      <c r="I364" s="614">
        <f>I370</f>
        <v>0</v>
      </c>
      <c r="J364" s="614">
        <f>J370</f>
        <v>0</v>
      </c>
      <c r="K364" s="614">
        <v>0</v>
      </c>
      <c r="L364" s="615">
        <f>J364/H364</f>
        <v>0</v>
      </c>
      <c r="M364" s="1080"/>
      <c r="N364" s="1081"/>
    </row>
    <row r="365" spans="1:14" x14ac:dyDescent="0.25">
      <c r="A365" s="1053" t="s">
        <v>1208</v>
      </c>
      <c r="B365" s="1054"/>
      <c r="C365" s="1054"/>
      <c r="D365" s="1054"/>
      <c r="E365" s="1054"/>
      <c r="F365" s="1054"/>
      <c r="G365" s="1054"/>
      <c r="H365" s="1054"/>
      <c r="I365" s="1054"/>
      <c r="J365" s="1054"/>
      <c r="K365" s="1054"/>
      <c r="L365" s="1054"/>
      <c r="M365" s="1054"/>
      <c r="N365" s="1054"/>
    </row>
    <row r="366" spans="1:14" x14ac:dyDescent="0.25">
      <c r="A366" s="1085">
        <v>82</v>
      </c>
      <c r="B366" s="1086" t="s">
        <v>1742</v>
      </c>
      <c r="C366" s="1042" t="s">
        <v>1743</v>
      </c>
      <c r="D366" s="880" t="s">
        <v>1744</v>
      </c>
      <c r="E366" s="1044">
        <v>1624830.14</v>
      </c>
      <c r="F366" s="569" t="s">
        <v>3</v>
      </c>
      <c r="G366" s="570">
        <f>G367+G368+G369+G370</f>
        <v>1352847.59</v>
      </c>
      <c r="H366" s="570">
        <f>H367+H368+H369+H370</f>
        <v>16723.2</v>
      </c>
      <c r="I366" s="570">
        <f>I367+I368+I369+I370</f>
        <v>0</v>
      </c>
      <c r="J366" s="570">
        <f>J367+J368+J369+J370</f>
        <v>0</v>
      </c>
      <c r="K366" s="570">
        <f>K367+K368+K369+K370</f>
        <v>0</v>
      </c>
      <c r="L366" s="571">
        <f>J366/H366</f>
        <v>0</v>
      </c>
      <c r="M366" s="1087">
        <v>0.83</v>
      </c>
      <c r="N366" s="1030" t="s">
        <v>1745</v>
      </c>
    </row>
    <row r="367" spans="1:14" x14ac:dyDescent="0.25">
      <c r="A367" s="1085"/>
      <c r="B367" s="1086"/>
      <c r="C367" s="1042"/>
      <c r="D367" s="880"/>
      <c r="E367" s="1042"/>
      <c r="F367" s="572" t="s">
        <v>179</v>
      </c>
      <c r="G367" s="493">
        <v>0</v>
      </c>
      <c r="H367" s="493">
        <v>0</v>
      </c>
      <c r="I367" s="493">
        <v>0</v>
      </c>
      <c r="J367" s="493">
        <v>0</v>
      </c>
      <c r="K367" s="573">
        <v>0</v>
      </c>
      <c r="L367" s="574">
        <v>0</v>
      </c>
      <c r="M367" s="1087"/>
      <c r="N367" s="1030"/>
    </row>
    <row r="368" spans="1:14" x14ac:dyDescent="0.25">
      <c r="A368" s="1085"/>
      <c r="B368" s="1086"/>
      <c r="C368" s="1042"/>
      <c r="D368" s="880"/>
      <c r="E368" s="1042"/>
      <c r="F368" s="572" t="s">
        <v>639</v>
      </c>
      <c r="G368" s="493">
        <v>0</v>
      </c>
      <c r="H368" s="493">
        <v>0</v>
      </c>
      <c r="I368" s="493">
        <v>0</v>
      </c>
      <c r="J368" s="493">
        <v>0</v>
      </c>
      <c r="K368" s="573">
        <v>0</v>
      </c>
      <c r="L368" s="574">
        <v>0</v>
      </c>
      <c r="M368" s="1087"/>
      <c r="N368" s="1030"/>
    </row>
    <row r="369" spans="1:14" x14ac:dyDescent="0.25">
      <c r="A369" s="1085"/>
      <c r="B369" s="1086"/>
      <c r="C369" s="1042"/>
      <c r="D369" s="880"/>
      <c r="E369" s="1042"/>
      <c r="F369" s="572" t="s">
        <v>6</v>
      </c>
      <c r="G369" s="493">
        <v>0</v>
      </c>
      <c r="H369" s="493">
        <v>0</v>
      </c>
      <c r="I369" s="493">
        <v>0</v>
      </c>
      <c r="J369" s="493">
        <v>0</v>
      </c>
      <c r="K369" s="573">
        <v>0</v>
      </c>
      <c r="L369" s="574">
        <v>0</v>
      </c>
      <c r="M369" s="1087"/>
      <c r="N369" s="1030"/>
    </row>
    <row r="370" spans="1:14" x14ac:dyDescent="0.25">
      <c r="A370" s="1085"/>
      <c r="B370" s="1086"/>
      <c r="C370" s="1042"/>
      <c r="D370" s="880"/>
      <c r="E370" s="1042"/>
      <c r="F370" s="572" t="s">
        <v>7</v>
      </c>
      <c r="G370" s="493">
        <f>1326488.79+26358.8</f>
        <v>1352847.59</v>
      </c>
      <c r="H370" s="575">
        <v>16723.2</v>
      </c>
      <c r="I370" s="493">
        <v>0</v>
      </c>
      <c r="J370" s="493">
        <v>0</v>
      </c>
      <c r="K370" s="493">
        <v>0</v>
      </c>
      <c r="L370" s="574">
        <f>J370/H370</f>
        <v>0</v>
      </c>
      <c r="M370" s="1087"/>
      <c r="N370" s="1030"/>
    </row>
    <row r="371" spans="1:14" ht="21" x14ac:dyDescent="0.25">
      <c r="A371" s="935" t="s">
        <v>1171</v>
      </c>
      <c r="B371" s="1079"/>
      <c r="C371" s="1079"/>
      <c r="D371" s="1079"/>
      <c r="E371" s="1079"/>
      <c r="F371" s="586" t="s">
        <v>3</v>
      </c>
      <c r="G371" s="612">
        <f>SUM(G376+G381+G386+G391+G396+G401+G406)</f>
        <v>2829992.5745099997</v>
      </c>
      <c r="H371" s="612">
        <f>SUM(H376+H381+H386+H391+H396+H401+H406)</f>
        <v>696011.43245000008</v>
      </c>
      <c r="I371" s="612">
        <f>SUM(I376+I381+I386+I391+I396+I401+I406)</f>
        <v>673707.43244999996</v>
      </c>
      <c r="J371" s="612">
        <f>SUM(J376+J381+J386+J391+J396+J401+J406)</f>
        <v>670873.83244999999</v>
      </c>
      <c r="K371" s="612">
        <v>0</v>
      </c>
      <c r="L371" s="613">
        <f>J371/H371</f>
        <v>0.96388335187036467</v>
      </c>
      <c r="M371" s="1082"/>
      <c r="N371" s="1081"/>
    </row>
    <row r="372" spans="1:14" x14ac:dyDescent="0.25">
      <c r="A372" s="1079"/>
      <c r="B372" s="1079"/>
      <c r="C372" s="1079"/>
      <c r="D372" s="1079"/>
      <c r="E372" s="1079"/>
      <c r="F372" s="589" t="s">
        <v>179</v>
      </c>
      <c r="G372" s="614">
        <f>SUM(G382+G387+G392+G377+G397+G402+G407)</f>
        <v>2672057.0989699997</v>
      </c>
      <c r="H372" s="614">
        <f>SUM(H377,H382,H387,H397,H402,H407,H392)</f>
        <v>591821.13245000003</v>
      </c>
      <c r="I372" s="614">
        <f>SUM(I377,I382,I397,I387,I402,I392,I407)</f>
        <v>569517.93244999996</v>
      </c>
      <c r="J372" s="614">
        <f>SUM(J377,J382,J397,J387,J402,J392,J407)</f>
        <v>566684.33244999999</v>
      </c>
      <c r="K372" s="614">
        <v>0</v>
      </c>
      <c r="L372" s="615">
        <f>J372/H372</f>
        <v>0.95752635615436776</v>
      </c>
      <c r="M372" s="1082"/>
      <c r="N372" s="1081"/>
    </row>
    <row r="373" spans="1:14" x14ac:dyDescent="0.25">
      <c r="A373" s="1079"/>
      <c r="B373" s="1079"/>
      <c r="C373" s="1079"/>
      <c r="D373" s="1079"/>
      <c r="E373" s="1079"/>
      <c r="F373" s="589" t="s">
        <v>639</v>
      </c>
      <c r="G373" s="614">
        <f>SUM(G378+G383+G388+G393+G398+G403+G408)</f>
        <v>157935.47553999998</v>
      </c>
      <c r="H373" s="614">
        <f>SUM(H378+H383+H388+H393+H398+H403+H408)</f>
        <v>104190.3</v>
      </c>
      <c r="I373" s="614">
        <f>SUM(I383,I378,I388,I393,I398,I403,I408)</f>
        <v>104189.5</v>
      </c>
      <c r="J373" s="614">
        <f>SUM(J383,J378,J388,J393,J398,J403,J408)</f>
        <v>104189.5</v>
      </c>
      <c r="K373" s="614">
        <v>0</v>
      </c>
      <c r="L373" s="615">
        <f>J373/H373</f>
        <v>0.99999232174204311</v>
      </c>
      <c r="M373" s="1082"/>
      <c r="N373" s="1081"/>
    </row>
    <row r="374" spans="1:14" x14ac:dyDescent="0.25">
      <c r="A374" s="1079"/>
      <c r="B374" s="1079"/>
      <c r="C374" s="1079"/>
      <c r="D374" s="1079"/>
      <c r="E374" s="1079"/>
      <c r="F374" s="589" t="s">
        <v>6</v>
      </c>
      <c r="G374" s="614">
        <v>0</v>
      </c>
      <c r="H374" s="614">
        <v>0</v>
      </c>
      <c r="I374" s="614">
        <v>0</v>
      </c>
      <c r="J374" s="614">
        <v>0</v>
      </c>
      <c r="K374" s="614">
        <v>0</v>
      </c>
      <c r="L374" s="615">
        <v>0</v>
      </c>
      <c r="M374" s="1082"/>
      <c r="N374" s="1081"/>
    </row>
    <row r="375" spans="1:14" x14ac:dyDescent="0.25">
      <c r="A375" s="1053" t="s">
        <v>638</v>
      </c>
      <c r="B375" s="1054"/>
      <c r="C375" s="1054"/>
      <c r="D375" s="1054"/>
      <c r="E375" s="1054"/>
      <c r="F375" s="1054"/>
      <c r="G375" s="1054"/>
      <c r="H375" s="1054"/>
      <c r="I375" s="1054"/>
      <c r="J375" s="1054"/>
      <c r="K375" s="1054"/>
      <c r="L375" s="1054"/>
      <c r="M375" s="1054"/>
      <c r="N375" s="1054"/>
    </row>
    <row r="376" spans="1:14" x14ac:dyDescent="0.25">
      <c r="A376" s="880">
        <v>83</v>
      </c>
      <c r="B376" s="920" t="s">
        <v>637</v>
      </c>
      <c r="C376" s="1029" t="s">
        <v>992</v>
      </c>
      <c r="D376" s="880" t="s">
        <v>1763</v>
      </c>
      <c r="E376" s="1083" t="s">
        <v>41</v>
      </c>
      <c r="F376" s="576" t="s">
        <v>3</v>
      </c>
      <c r="G376" s="502">
        <f>G377+G378+G379+G380</f>
        <v>49551.7</v>
      </c>
      <c r="H376" s="502">
        <f t="shared" ref="H376:K376" si="55">SUM(H377:H380)</f>
        <v>13460.4</v>
      </c>
      <c r="I376" s="502">
        <f t="shared" si="55"/>
        <v>2833.6</v>
      </c>
      <c r="J376" s="502">
        <f t="shared" si="55"/>
        <v>0</v>
      </c>
      <c r="K376" s="502">
        <f t="shared" si="55"/>
        <v>0</v>
      </c>
      <c r="L376" s="577">
        <f>J376/H376</f>
        <v>0</v>
      </c>
      <c r="M376" s="1088" t="s">
        <v>41</v>
      </c>
      <c r="N376" s="1030" t="s">
        <v>1764</v>
      </c>
    </row>
    <row r="377" spans="1:14" x14ac:dyDescent="0.25">
      <c r="A377" s="880"/>
      <c r="B377" s="920"/>
      <c r="C377" s="1029"/>
      <c r="D377" s="880"/>
      <c r="E377" s="1084"/>
      <c r="F377" s="576" t="s">
        <v>179</v>
      </c>
      <c r="G377" s="578">
        <v>49551.7</v>
      </c>
      <c r="H377" s="578">
        <v>13460.4</v>
      </c>
      <c r="I377" s="578">
        <v>2833.6</v>
      </c>
      <c r="J377" s="578">
        <v>0</v>
      </c>
      <c r="K377" s="578">
        <v>0</v>
      </c>
      <c r="L377" s="579">
        <f>J377/H377</f>
        <v>0</v>
      </c>
      <c r="M377" s="1029"/>
      <c r="N377" s="1030"/>
    </row>
    <row r="378" spans="1:14" x14ac:dyDescent="0.25">
      <c r="A378" s="880"/>
      <c r="B378" s="920"/>
      <c r="C378" s="1029"/>
      <c r="D378" s="880"/>
      <c r="E378" s="1084"/>
      <c r="F378" s="576" t="s">
        <v>639</v>
      </c>
      <c r="G378" s="502">
        <v>0</v>
      </c>
      <c r="H378" s="578">
        <v>0</v>
      </c>
      <c r="I378" s="578">
        <v>0</v>
      </c>
      <c r="J378" s="578">
        <v>0</v>
      </c>
      <c r="K378" s="578">
        <v>0</v>
      </c>
      <c r="L378" s="560">
        <v>0</v>
      </c>
      <c r="M378" s="1029"/>
      <c r="N378" s="1030"/>
    </row>
    <row r="379" spans="1:14" x14ac:dyDescent="0.25">
      <c r="A379" s="880"/>
      <c r="B379" s="920"/>
      <c r="C379" s="1029"/>
      <c r="D379" s="880"/>
      <c r="E379" s="1084"/>
      <c r="F379" s="576" t="s">
        <v>6</v>
      </c>
      <c r="G379" s="502">
        <v>0</v>
      </c>
      <c r="H379" s="578">
        <v>0</v>
      </c>
      <c r="I379" s="578">
        <v>0</v>
      </c>
      <c r="J379" s="578">
        <v>0</v>
      </c>
      <c r="K379" s="578">
        <v>0</v>
      </c>
      <c r="L379" s="560">
        <v>0</v>
      </c>
      <c r="M379" s="1029"/>
      <c r="N379" s="1030"/>
    </row>
    <row r="380" spans="1:14" x14ac:dyDescent="0.25">
      <c r="A380" s="880"/>
      <c r="B380" s="920"/>
      <c r="C380" s="1029"/>
      <c r="D380" s="880"/>
      <c r="E380" s="1084"/>
      <c r="F380" s="576" t="s">
        <v>7</v>
      </c>
      <c r="G380" s="502">
        <v>0</v>
      </c>
      <c r="H380" s="578">
        <v>0</v>
      </c>
      <c r="I380" s="578">
        <v>0</v>
      </c>
      <c r="J380" s="578">
        <v>0</v>
      </c>
      <c r="K380" s="578">
        <v>0</v>
      </c>
      <c r="L380" s="560">
        <v>0</v>
      </c>
      <c r="M380" s="1029"/>
      <c r="N380" s="1030"/>
    </row>
    <row r="381" spans="1:14" x14ac:dyDescent="0.25">
      <c r="A381" s="880">
        <v>84</v>
      </c>
      <c r="B381" s="1089" t="s">
        <v>1209</v>
      </c>
      <c r="C381" s="880" t="s">
        <v>1210</v>
      </c>
      <c r="D381" s="1090" t="s">
        <v>1211</v>
      </c>
      <c r="E381" s="1091">
        <v>1240260.6000000001</v>
      </c>
      <c r="F381" s="580" t="s">
        <v>3</v>
      </c>
      <c r="G381" s="581">
        <f>SUM(G382:G385)</f>
        <v>679859.36639999994</v>
      </c>
      <c r="H381" s="581">
        <f t="shared" ref="H381:J381" si="56">SUM(H382:H385)</f>
        <v>502035.8</v>
      </c>
      <c r="I381" s="581">
        <f t="shared" si="56"/>
        <v>500699.3</v>
      </c>
      <c r="J381" s="581">
        <f t="shared" si="56"/>
        <v>500699.3</v>
      </c>
      <c r="K381" s="581">
        <v>0</v>
      </c>
      <c r="L381" s="577">
        <f t="shared" ref="L381" si="57">J381/H381</f>
        <v>0.99733783925369468</v>
      </c>
      <c r="M381" s="1092">
        <v>0.95</v>
      </c>
      <c r="N381" s="1093" t="s">
        <v>1765</v>
      </c>
    </row>
    <row r="382" spans="1:14" x14ac:dyDescent="0.25">
      <c r="A382" s="880"/>
      <c r="B382" s="1089"/>
      <c r="C382" s="1029"/>
      <c r="D382" s="1090"/>
      <c r="E382" s="1091"/>
      <c r="F382" s="580" t="s">
        <v>179</v>
      </c>
      <c r="G382" s="581">
        <f>406780.1664+191690.5</f>
        <v>598470.66639999999</v>
      </c>
      <c r="H382" s="581">
        <v>502035.8</v>
      </c>
      <c r="I382" s="581">
        <v>500699.3</v>
      </c>
      <c r="J382" s="581">
        <v>500699.3</v>
      </c>
      <c r="K382" s="581">
        <v>0</v>
      </c>
      <c r="L382" s="577">
        <f>J382/H382</f>
        <v>0.99733783925369468</v>
      </c>
      <c r="M382" s="1092"/>
      <c r="N382" s="1093"/>
    </row>
    <row r="383" spans="1:14" x14ac:dyDescent="0.25">
      <c r="A383" s="880"/>
      <c r="B383" s="1089"/>
      <c r="C383" s="1029"/>
      <c r="D383" s="1090"/>
      <c r="E383" s="1091"/>
      <c r="F383" s="580" t="s">
        <v>639</v>
      </c>
      <c r="G383" s="581">
        <v>81388.7</v>
      </c>
      <c r="H383" s="581">
        <v>0</v>
      </c>
      <c r="I383" s="581">
        <v>0</v>
      </c>
      <c r="J383" s="581">
        <v>0</v>
      </c>
      <c r="K383" s="581">
        <v>0</v>
      </c>
      <c r="L383" s="577">
        <v>0</v>
      </c>
      <c r="M383" s="1092"/>
      <c r="N383" s="1093"/>
    </row>
    <row r="384" spans="1:14" x14ac:dyDescent="0.25">
      <c r="A384" s="880"/>
      <c r="B384" s="1089"/>
      <c r="C384" s="1029"/>
      <c r="D384" s="1090"/>
      <c r="E384" s="1091"/>
      <c r="F384" s="580" t="s">
        <v>6</v>
      </c>
      <c r="G384" s="581">
        <v>0</v>
      </c>
      <c r="H384" s="581">
        <v>0</v>
      </c>
      <c r="I384" s="581">
        <v>0</v>
      </c>
      <c r="J384" s="581">
        <v>0</v>
      </c>
      <c r="K384" s="581">
        <v>0</v>
      </c>
      <c r="L384" s="577">
        <v>0</v>
      </c>
      <c r="M384" s="1092"/>
      <c r="N384" s="1093"/>
    </row>
    <row r="385" spans="1:14" x14ac:dyDescent="0.25">
      <c r="A385" s="880"/>
      <c r="B385" s="1089"/>
      <c r="C385" s="1029"/>
      <c r="D385" s="1090"/>
      <c r="E385" s="1091"/>
      <c r="F385" s="580" t="s">
        <v>7</v>
      </c>
      <c r="G385" s="581">
        <v>0</v>
      </c>
      <c r="H385" s="581">
        <f>SUM(J416:J419)</f>
        <v>0</v>
      </c>
      <c r="I385" s="581">
        <v>0</v>
      </c>
      <c r="J385" s="581">
        <v>0</v>
      </c>
      <c r="K385" s="581">
        <f>SUM(M416:M419)</f>
        <v>0</v>
      </c>
      <c r="L385" s="577">
        <v>0</v>
      </c>
      <c r="M385" s="1092"/>
      <c r="N385" s="1093"/>
    </row>
    <row r="386" spans="1:14" x14ac:dyDescent="0.25">
      <c r="A386" s="880">
        <v>85</v>
      </c>
      <c r="B386" s="1089" t="s">
        <v>1212</v>
      </c>
      <c r="C386" s="880" t="s">
        <v>1210</v>
      </c>
      <c r="D386" s="1090" t="s">
        <v>1214</v>
      </c>
      <c r="E386" s="1091">
        <v>371726.8</v>
      </c>
      <c r="F386" s="580" t="s">
        <v>3</v>
      </c>
      <c r="G386" s="581">
        <f>SUM(G387:G390)</f>
        <v>367750.33199999999</v>
      </c>
      <c r="H386" s="581">
        <f>SUM(H387:H390)</f>
        <v>3976.4552199999998</v>
      </c>
      <c r="I386" s="581">
        <f t="shared" ref="I386:K386" si="58">SUM(I387:I390)</f>
        <v>3976.4552199999998</v>
      </c>
      <c r="J386" s="581">
        <f t="shared" si="58"/>
        <v>3976.4552199999998</v>
      </c>
      <c r="K386" s="581">
        <f t="shared" si="58"/>
        <v>0</v>
      </c>
      <c r="L386" s="577">
        <f t="shared" ref="L386:L387" si="59">J386/H386</f>
        <v>1</v>
      </c>
      <c r="M386" s="1092">
        <v>1</v>
      </c>
      <c r="N386" s="920" t="s">
        <v>1552</v>
      </c>
    </row>
    <row r="387" spans="1:14" x14ac:dyDescent="0.25">
      <c r="A387" s="880"/>
      <c r="B387" s="1089"/>
      <c r="C387" s="1029"/>
      <c r="D387" s="1090"/>
      <c r="E387" s="1091"/>
      <c r="F387" s="580" t="s">
        <v>179</v>
      </c>
      <c r="G387" s="581">
        <f>115473.604+252276.728</f>
        <v>367750.33199999999</v>
      </c>
      <c r="H387" s="581">
        <v>3976.4552199999998</v>
      </c>
      <c r="I387" s="581">
        <v>3976.4552199999998</v>
      </c>
      <c r="J387" s="581">
        <v>3976.4552199999998</v>
      </c>
      <c r="K387" s="581">
        <v>0</v>
      </c>
      <c r="L387" s="577">
        <f t="shared" si="59"/>
        <v>1</v>
      </c>
      <c r="M387" s="1092"/>
      <c r="N387" s="920"/>
    </row>
    <row r="388" spans="1:14" x14ac:dyDescent="0.25">
      <c r="A388" s="880"/>
      <c r="B388" s="1089"/>
      <c r="C388" s="1029"/>
      <c r="D388" s="1090"/>
      <c r="E388" s="1091"/>
      <c r="F388" s="580" t="s">
        <v>639</v>
      </c>
      <c r="G388" s="581">
        <v>0</v>
      </c>
      <c r="H388" s="581">
        <v>0</v>
      </c>
      <c r="I388" s="581">
        <v>0</v>
      </c>
      <c r="J388" s="581">
        <v>0</v>
      </c>
      <c r="K388" s="581">
        <v>0</v>
      </c>
      <c r="L388" s="577">
        <v>0</v>
      </c>
      <c r="M388" s="1092"/>
      <c r="N388" s="920"/>
    </row>
    <row r="389" spans="1:14" x14ac:dyDescent="0.25">
      <c r="A389" s="880"/>
      <c r="B389" s="1089"/>
      <c r="C389" s="1029"/>
      <c r="D389" s="1090"/>
      <c r="E389" s="1091"/>
      <c r="F389" s="580" t="s">
        <v>6</v>
      </c>
      <c r="G389" s="581">
        <v>0</v>
      </c>
      <c r="H389" s="581">
        <v>0</v>
      </c>
      <c r="I389" s="581">
        <v>0</v>
      </c>
      <c r="J389" s="581">
        <v>0</v>
      </c>
      <c r="K389" s="581">
        <v>0</v>
      </c>
      <c r="L389" s="577">
        <v>0</v>
      </c>
      <c r="M389" s="1092"/>
      <c r="N389" s="920"/>
    </row>
    <row r="390" spans="1:14" x14ac:dyDescent="0.25">
      <c r="A390" s="880"/>
      <c r="B390" s="1089"/>
      <c r="C390" s="1029"/>
      <c r="D390" s="1090"/>
      <c r="E390" s="1091"/>
      <c r="F390" s="580" t="s">
        <v>7</v>
      </c>
      <c r="G390" s="581">
        <v>0</v>
      </c>
      <c r="H390" s="581">
        <f>SUM(J416:J419)</f>
        <v>0</v>
      </c>
      <c r="I390" s="581">
        <f>SUM(K416:K419)</f>
        <v>0</v>
      </c>
      <c r="J390" s="581">
        <f>SUM(L416:L419)</f>
        <v>0</v>
      </c>
      <c r="K390" s="581">
        <f>SUM(M416:M419)</f>
        <v>0</v>
      </c>
      <c r="L390" s="577">
        <v>0</v>
      </c>
      <c r="M390" s="1092"/>
      <c r="N390" s="920"/>
    </row>
    <row r="391" spans="1:14" x14ac:dyDescent="0.25">
      <c r="A391" s="880">
        <v>86</v>
      </c>
      <c r="B391" s="1089" t="s">
        <v>1553</v>
      </c>
      <c r="C391" s="880" t="s">
        <v>1210</v>
      </c>
      <c r="D391" s="1090" t="s">
        <v>1554</v>
      </c>
      <c r="E391" s="1091">
        <v>101856.12852</v>
      </c>
      <c r="F391" s="580" t="s">
        <v>3</v>
      </c>
      <c r="G391" s="581">
        <f>SUM(G392:G395)</f>
        <v>79556.309110000002</v>
      </c>
      <c r="H391" s="581">
        <f>SUM(H392:H395)</f>
        <v>22804.799999999999</v>
      </c>
      <c r="I391" s="581">
        <f t="shared" ref="I391:K391" si="60">SUM(I392:I395)</f>
        <v>22299.8</v>
      </c>
      <c r="J391" s="581">
        <f t="shared" si="60"/>
        <v>22299.8</v>
      </c>
      <c r="K391" s="581">
        <f t="shared" si="60"/>
        <v>0</v>
      </c>
      <c r="L391" s="577">
        <f t="shared" ref="L391:L392" si="61">J391/H391</f>
        <v>0.977855539184733</v>
      </c>
      <c r="M391" s="1092">
        <v>0.66</v>
      </c>
      <c r="N391" s="920" t="s">
        <v>1552</v>
      </c>
    </row>
    <row r="392" spans="1:14" x14ac:dyDescent="0.25">
      <c r="A392" s="880"/>
      <c r="B392" s="1089"/>
      <c r="C392" s="1029"/>
      <c r="D392" s="1090"/>
      <c r="E392" s="1091"/>
      <c r="F392" s="580" t="s">
        <v>179</v>
      </c>
      <c r="G392" s="581">
        <v>6030.5335800000003</v>
      </c>
      <c r="H392" s="581">
        <v>2930</v>
      </c>
      <c r="I392" s="581">
        <v>2425.8000000000002</v>
      </c>
      <c r="J392" s="581">
        <v>2425.8000000000002</v>
      </c>
      <c r="K392" s="581">
        <v>0</v>
      </c>
      <c r="L392" s="577">
        <f t="shared" si="61"/>
        <v>0.82791808873720141</v>
      </c>
      <c r="M392" s="1092"/>
      <c r="N392" s="920"/>
    </row>
    <row r="393" spans="1:14" x14ac:dyDescent="0.25">
      <c r="A393" s="880"/>
      <c r="B393" s="1089"/>
      <c r="C393" s="1029"/>
      <c r="D393" s="1090"/>
      <c r="E393" s="1091"/>
      <c r="F393" s="580" t="s">
        <v>639</v>
      </c>
      <c r="G393" s="581">
        <v>73525.775529999999</v>
      </c>
      <c r="H393" s="581">
        <v>19874.8</v>
      </c>
      <c r="I393" s="581">
        <v>19874</v>
      </c>
      <c r="J393" s="581">
        <v>19874</v>
      </c>
      <c r="K393" s="581">
        <v>0</v>
      </c>
      <c r="L393" s="577">
        <f>J393/H393</f>
        <v>0.99995974802262166</v>
      </c>
      <c r="M393" s="1092"/>
      <c r="N393" s="920"/>
    </row>
    <row r="394" spans="1:14" x14ac:dyDescent="0.25">
      <c r="A394" s="880"/>
      <c r="B394" s="1089"/>
      <c r="C394" s="1029"/>
      <c r="D394" s="1090"/>
      <c r="E394" s="1091"/>
      <c r="F394" s="580" t="s">
        <v>6</v>
      </c>
      <c r="G394" s="581">
        <v>0</v>
      </c>
      <c r="H394" s="581">
        <v>0</v>
      </c>
      <c r="I394" s="581">
        <v>0</v>
      </c>
      <c r="J394" s="581">
        <v>0</v>
      </c>
      <c r="K394" s="581">
        <v>0</v>
      </c>
      <c r="L394" s="577">
        <v>0</v>
      </c>
      <c r="M394" s="1092"/>
      <c r="N394" s="920"/>
    </row>
    <row r="395" spans="1:14" x14ac:dyDescent="0.25">
      <c r="A395" s="880"/>
      <c r="B395" s="1089"/>
      <c r="C395" s="1029"/>
      <c r="D395" s="1090"/>
      <c r="E395" s="1091"/>
      <c r="F395" s="580" t="s">
        <v>7</v>
      </c>
      <c r="G395" s="581">
        <v>0</v>
      </c>
      <c r="H395" s="581">
        <v>0</v>
      </c>
      <c r="I395" s="581">
        <f>SUM(K405:K414)</f>
        <v>0</v>
      </c>
      <c r="J395" s="581">
        <v>0</v>
      </c>
      <c r="K395" s="581">
        <v>0</v>
      </c>
      <c r="L395" s="577">
        <v>0</v>
      </c>
      <c r="M395" s="1092"/>
      <c r="N395" s="920"/>
    </row>
    <row r="396" spans="1:14" x14ac:dyDescent="0.25">
      <c r="A396" s="880">
        <v>87</v>
      </c>
      <c r="B396" s="1089" t="s">
        <v>1213</v>
      </c>
      <c r="C396" s="880" t="s">
        <v>1210</v>
      </c>
      <c r="D396" s="1029" t="s">
        <v>1214</v>
      </c>
      <c r="E396" s="1083">
        <v>105770.24423</v>
      </c>
      <c r="F396" s="580" t="s">
        <v>3</v>
      </c>
      <c r="G396" s="581">
        <f>SUM(G397:G400)</f>
        <v>102603.467</v>
      </c>
      <c r="H396" s="581">
        <f>SUM(H397:H400)</f>
        <v>3166.7772300000001</v>
      </c>
      <c r="I396" s="581">
        <f t="shared" ref="I396:K396" si="62">SUM(I397:I400)</f>
        <v>3166.7772300000001</v>
      </c>
      <c r="J396" s="581">
        <f t="shared" si="62"/>
        <v>3166.7772300000001</v>
      </c>
      <c r="K396" s="581">
        <f t="shared" si="62"/>
        <v>0</v>
      </c>
      <c r="L396" s="577">
        <f t="shared" ref="L396:L397" si="63">J396/H396</f>
        <v>1</v>
      </c>
      <c r="M396" s="1092">
        <v>1</v>
      </c>
      <c r="N396" s="920" t="s">
        <v>1552</v>
      </c>
    </row>
    <row r="397" spans="1:14" x14ac:dyDescent="0.25">
      <c r="A397" s="880"/>
      <c r="B397" s="1089"/>
      <c r="C397" s="1029"/>
      <c r="D397" s="1029"/>
      <c r="E397" s="1083"/>
      <c r="F397" s="580" t="s">
        <v>179</v>
      </c>
      <c r="G397" s="581">
        <f>44704.633+57898.834</f>
        <v>102603.467</v>
      </c>
      <c r="H397" s="581">
        <v>3166.7772300000001</v>
      </c>
      <c r="I397" s="581">
        <f>H397</f>
        <v>3166.7772300000001</v>
      </c>
      <c r="J397" s="581">
        <f>I397</f>
        <v>3166.7772300000001</v>
      </c>
      <c r="K397" s="581">
        <v>0</v>
      </c>
      <c r="L397" s="577">
        <f t="shared" si="63"/>
        <v>1</v>
      </c>
      <c r="M397" s="1092"/>
      <c r="N397" s="920"/>
    </row>
    <row r="398" spans="1:14" x14ac:dyDescent="0.25">
      <c r="A398" s="880"/>
      <c r="B398" s="1089"/>
      <c r="C398" s="1029"/>
      <c r="D398" s="1029"/>
      <c r="E398" s="1083"/>
      <c r="F398" s="580" t="s">
        <v>639</v>
      </c>
      <c r="G398" s="581">
        <v>0</v>
      </c>
      <c r="H398" s="581">
        <v>0</v>
      </c>
      <c r="I398" s="581">
        <v>0</v>
      </c>
      <c r="J398" s="581">
        <v>0</v>
      </c>
      <c r="K398" s="581">
        <v>0</v>
      </c>
      <c r="L398" s="577">
        <v>0</v>
      </c>
      <c r="M398" s="1092"/>
      <c r="N398" s="920"/>
    </row>
    <row r="399" spans="1:14" x14ac:dyDescent="0.25">
      <c r="A399" s="880"/>
      <c r="B399" s="1089"/>
      <c r="C399" s="1029"/>
      <c r="D399" s="1029"/>
      <c r="E399" s="1083"/>
      <c r="F399" s="580" t="s">
        <v>6</v>
      </c>
      <c r="G399" s="581">
        <v>0</v>
      </c>
      <c r="H399" s="581">
        <v>0</v>
      </c>
      <c r="I399" s="581">
        <v>0</v>
      </c>
      <c r="J399" s="581">
        <v>0</v>
      </c>
      <c r="K399" s="581">
        <v>0</v>
      </c>
      <c r="L399" s="577">
        <v>0</v>
      </c>
      <c r="M399" s="1092"/>
      <c r="N399" s="920"/>
    </row>
    <row r="400" spans="1:14" x14ac:dyDescent="0.25">
      <c r="A400" s="880"/>
      <c r="B400" s="1089"/>
      <c r="C400" s="1029"/>
      <c r="D400" s="1029"/>
      <c r="E400" s="1083"/>
      <c r="F400" s="580" t="s">
        <v>7</v>
      </c>
      <c r="G400" s="581">
        <v>0</v>
      </c>
      <c r="H400" s="581">
        <f>SUM(J416:J419)</f>
        <v>0</v>
      </c>
      <c r="I400" s="581">
        <f>SUM(K416:K419)</f>
        <v>0</v>
      </c>
      <c r="J400" s="581">
        <f>SUM(L416:L419)</f>
        <v>0</v>
      </c>
      <c r="K400" s="581">
        <f>SUM(M416:M419)</f>
        <v>0</v>
      </c>
      <c r="L400" s="577">
        <v>0</v>
      </c>
      <c r="M400" s="1092"/>
      <c r="N400" s="920"/>
    </row>
    <row r="401" spans="1:14" x14ac:dyDescent="0.25">
      <c r="A401" s="880">
        <v>88</v>
      </c>
      <c r="B401" s="1089" t="s">
        <v>1555</v>
      </c>
      <c r="C401" s="880" t="s">
        <v>1210</v>
      </c>
      <c r="D401" s="1090" t="s">
        <v>1554</v>
      </c>
      <c r="E401" s="1091">
        <v>142858.74178000001</v>
      </c>
      <c r="F401" s="580" t="s">
        <v>3</v>
      </c>
      <c r="G401" s="581">
        <f>SUM(G402:G405)</f>
        <v>50350</v>
      </c>
      <c r="H401" s="582">
        <f>SUM(H402:H404)</f>
        <v>91552.9</v>
      </c>
      <c r="I401" s="582">
        <f t="shared" ref="I401:J401" si="64">SUM(I402:I404)</f>
        <v>91552.9</v>
      </c>
      <c r="J401" s="582">
        <f t="shared" si="64"/>
        <v>91552.9</v>
      </c>
      <c r="K401" s="581">
        <f>SUM(K402:K405)</f>
        <v>0</v>
      </c>
      <c r="L401" s="577">
        <f t="shared" ref="L401:L402" si="65">J401/H401</f>
        <v>1</v>
      </c>
      <c r="M401" s="1092">
        <v>0.99</v>
      </c>
      <c r="N401" s="920" t="s">
        <v>1552</v>
      </c>
    </row>
    <row r="402" spans="1:14" x14ac:dyDescent="0.25">
      <c r="A402" s="880"/>
      <c r="B402" s="1089"/>
      <c r="C402" s="1029"/>
      <c r="D402" s="1090"/>
      <c r="E402" s="1091"/>
      <c r="F402" s="580" t="s">
        <v>179</v>
      </c>
      <c r="G402" s="581">
        <v>47328.999989999997</v>
      </c>
      <c r="H402" s="582">
        <v>7237.4</v>
      </c>
      <c r="I402" s="582">
        <v>7237.4</v>
      </c>
      <c r="J402" s="582">
        <v>7237.4</v>
      </c>
      <c r="K402" s="581">
        <v>0</v>
      </c>
      <c r="L402" s="577">
        <f t="shared" si="65"/>
        <v>1</v>
      </c>
      <c r="M402" s="1092"/>
      <c r="N402" s="920"/>
    </row>
    <row r="403" spans="1:14" x14ac:dyDescent="0.25">
      <c r="A403" s="880"/>
      <c r="B403" s="1089"/>
      <c r="C403" s="1029"/>
      <c r="D403" s="1090"/>
      <c r="E403" s="1091"/>
      <c r="F403" s="580" t="s">
        <v>639</v>
      </c>
      <c r="G403" s="581">
        <v>3021.0000100000002</v>
      </c>
      <c r="H403" s="581">
        <v>84315.5</v>
      </c>
      <c r="I403" s="581">
        <v>84315.5</v>
      </c>
      <c r="J403" s="581">
        <v>84315.5</v>
      </c>
      <c r="K403" s="581">
        <v>0</v>
      </c>
      <c r="L403" s="577">
        <f>J403/H403</f>
        <v>1</v>
      </c>
      <c r="M403" s="1092"/>
      <c r="N403" s="920"/>
    </row>
    <row r="404" spans="1:14" x14ac:dyDescent="0.25">
      <c r="A404" s="880"/>
      <c r="B404" s="1089"/>
      <c r="C404" s="1029"/>
      <c r="D404" s="1090"/>
      <c r="E404" s="1091"/>
      <c r="F404" s="580" t="s">
        <v>6</v>
      </c>
      <c r="G404" s="581">
        <v>0</v>
      </c>
      <c r="H404" s="581">
        <v>0</v>
      </c>
      <c r="I404" s="581">
        <v>0</v>
      </c>
      <c r="J404" s="581">
        <v>0</v>
      </c>
      <c r="K404" s="581">
        <v>0</v>
      </c>
      <c r="L404" s="577">
        <v>0</v>
      </c>
      <c r="M404" s="1092"/>
      <c r="N404" s="920"/>
    </row>
    <row r="405" spans="1:14" x14ac:dyDescent="0.25">
      <c r="A405" s="880"/>
      <c r="B405" s="1089"/>
      <c r="C405" s="1029"/>
      <c r="D405" s="1090"/>
      <c r="E405" s="1091"/>
      <c r="F405" s="580" t="s">
        <v>7</v>
      </c>
      <c r="G405" s="581">
        <v>0</v>
      </c>
      <c r="H405" s="581">
        <f>SUM(J430:J431)</f>
        <v>0</v>
      </c>
      <c r="I405" s="581">
        <f>SUM(K430:K431)</f>
        <v>0</v>
      </c>
      <c r="J405" s="581">
        <f>SUM(L430:L431)</f>
        <v>0</v>
      </c>
      <c r="K405" s="581">
        <f>SUM(M430:M431)</f>
        <v>0</v>
      </c>
      <c r="L405" s="577">
        <v>0</v>
      </c>
      <c r="M405" s="1092"/>
      <c r="N405" s="920"/>
    </row>
    <row r="406" spans="1:14" x14ac:dyDescent="0.25">
      <c r="A406" s="880">
        <v>89</v>
      </c>
      <c r="B406" s="1089" t="s">
        <v>1556</v>
      </c>
      <c r="C406" s="880" t="s">
        <v>1210</v>
      </c>
      <c r="D406" s="1090" t="s">
        <v>1557</v>
      </c>
      <c r="E406" s="1091">
        <v>7735066.5999999996</v>
      </c>
      <c r="F406" s="580" t="s">
        <v>3</v>
      </c>
      <c r="G406" s="581">
        <f>SUM(G407:G410)</f>
        <v>1500321.4</v>
      </c>
      <c r="H406" s="582">
        <f>SUM(H407:H409)</f>
        <v>59014.3</v>
      </c>
      <c r="I406" s="581">
        <f>SUM(I407:I410)</f>
        <v>49178.6</v>
      </c>
      <c r="J406" s="581">
        <f>SUM(J407:J410)</f>
        <v>49178.6</v>
      </c>
      <c r="K406" s="581">
        <f>SUM(K407:K410)</f>
        <v>0</v>
      </c>
      <c r="L406" s="577">
        <f t="shared" ref="L406:L407" si="66">J406/H406</f>
        <v>0.83333361575075859</v>
      </c>
      <c r="M406" s="1092">
        <v>0.2</v>
      </c>
      <c r="N406" s="920" t="s">
        <v>1766</v>
      </c>
    </row>
    <row r="407" spans="1:14" x14ac:dyDescent="0.25">
      <c r="A407" s="880"/>
      <c r="B407" s="1089"/>
      <c r="C407" s="1029"/>
      <c r="D407" s="1090"/>
      <c r="E407" s="1091"/>
      <c r="F407" s="580" t="s">
        <v>179</v>
      </c>
      <c r="G407" s="581">
        <v>1500321.4</v>
      </c>
      <c r="H407" s="582">
        <v>59014.3</v>
      </c>
      <c r="I407" s="582">
        <v>49178.6</v>
      </c>
      <c r="J407" s="582">
        <v>49178.6</v>
      </c>
      <c r="K407" s="581">
        <f>SUM(K408:K436)</f>
        <v>0</v>
      </c>
      <c r="L407" s="577">
        <f t="shared" si="66"/>
        <v>0.83333361575075859</v>
      </c>
      <c r="M407" s="1092"/>
      <c r="N407" s="920"/>
    </row>
    <row r="408" spans="1:14" x14ac:dyDescent="0.25">
      <c r="A408" s="880"/>
      <c r="B408" s="1089"/>
      <c r="C408" s="1029"/>
      <c r="D408" s="1090"/>
      <c r="E408" s="1091"/>
      <c r="F408" s="580" t="s">
        <v>639</v>
      </c>
      <c r="G408" s="581">
        <v>0</v>
      </c>
      <c r="H408" s="581">
        <v>0</v>
      </c>
      <c r="I408" s="581">
        <v>0</v>
      </c>
      <c r="J408" s="581">
        <v>0</v>
      </c>
      <c r="K408" s="581">
        <f>SUM(M409:M434)</f>
        <v>0</v>
      </c>
      <c r="L408" s="577">
        <v>0</v>
      </c>
      <c r="M408" s="1092"/>
      <c r="N408" s="920"/>
    </row>
    <row r="409" spans="1:14" x14ac:dyDescent="0.25">
      <c r="A409" s="880"/>
      <c r="B409" s="1089"/>
      <c r="C409" s="1029"/>
      <c r="D409" s="1090"/>
      <c r="E409" s="1091"/>
      <c r="F409" s="580" t="s">
        <v>6</v>
      </c>
      <c r="G409" s="581">
        <v>0</v>
      </c>
      <c r="H409" s="581">
        <v>0</v>
      </c>
      <c r="I409" s="581">
        <v>0</v>
      </c>
      <c r="J409" s="581">
        <v>0</v>
      </c>
      <c r="K409" s="581">
        <f>SUM(M410:M435)</f>
        <v>0</v>
      </c>
      <c r="L409" s="577">
        <v>0</v>
      </c>
      <c r="M409" s="1092"/>
      <c r="N409" s="920"/>
    </row>
    <row r="410" spans="1:14" x14ac:dyDescent="0.25">
      <c r="A410" s="880"/>
      <c r="B410" s="1089"/>
      <c r="C410" s="1029"/>
      <c r="D410" s="1090"/>
      <c r="E410" s="1091"/>
      <c r="F410" s="580" t="s">
        <v>7</v>
      </c>
      <c r="G410" s="581">
        <v>0</v>
      </c>
      <c r="H410" s="581">
        <f>SUM(J435:J436)</f>
        <v>0</v>
      </c>
      <c r="I410" s="581">
        <f>SUM(K435:K436)</f>
        <v>0</v>
      </c>
      <c r="J410" s="581">
        <f>SUM(L435:L436)</f>
        <v>0</v>
      </c>
      <c r="K410" s="581">
        <f>SUM(M435:M436)</f>
        <v>0</v>
      </c>
      <c r="L410" s="577">
        <v>0</v>
      </c>
      <c r="M410" s="1092"/>
      <c r="N410" s="920"/>
    </row>
    <row r="411" spans="1:14" ht="21" x14ac:dyDescent="0.25">
      <c r="A411" s="864" t="s">
        <v>1587</v>
      </c>
      <c r="B411" s="865"/>
      <c r="C411" s="865"/>
      <c r="D411" s="865"/>
      <c r="E411" s="866"/>
      <c r="F411" s="586" t="s">
        <v>3</v>
      </c>
      <c r="G411" s="612">
        <f>G412+G413</f>
        <v>0</v>
      </c>
      <c r="H411" s="612">
        <f t="shared" ref="H411:K411" si="67">H412+H413</f>
        <v>899481.9</v>
      </c>
      <c r="I411" s="612">
        <f t="shared" si="67"/>
        <v>381188.08523999999</v>
      </c>
      <c r="J411" s="612">
        <f t="shared" si="67"/>
        <v>0</v>
      </c>
      <c r="K411" s="612">
        <f t="shared" si="67"/>
        <v>0</v>
      </c>
      <c r="L411" s="613">
        <f>J411/H411</f>
        <v>0</v>
      </c>
      <c r="M411" s="1094"/>
      <c r="N411" s="1097"/>
    </row>
    <row r="412" spans="1:14" x14ac:dyDescent="0.25">
      <c r="A412" s="867"/>
      <c r="B412" s="868"/>
      <c r="C412" s="868"/>
      <c r="D412" s="868"/>
      <c r="E412" s="869"/>
      <c r="F412" s="616" t="s">
        <v>179</v>
      </c>
      <c r="G412" s="617">
        <f>G416</f>
        <v>0</v>
      </c>
      <c r="H412" s="617">
        <f t="shared" ref="H412:K413" si="68">H416</f>
        <v>300000</v>
      </c>
      <c r="I412" s="617">
        <f t="shared" si="68"/>
        <v>300000</v>
      </c>
      <c r="J412" s="617">
        <f t="shared" si="68"/>
        <v>0</v>
      </c>
      <c r="K412" s="617">
        <f t="shared" si="68"/>
        <v>0</v>
      </c>
      <c r="L412" s="618">
        <f>J412/H412</f>
        <v>0</v>
      </c>
      <c r="M412" s="1095"/>
      <c r="N412" s="1098"/>
    </row>
    <row r="413" spans="1:14" x14ac:dyDescent="0.25">
      <c r="A413" s="1015"/>
      <c r="B413" s="1016"/>
      <c r="C413" s="1016"/>
      <c r="D413" s="1016"/>
      <c r="E413" s="1017"/>
      <c r="F413" s="589" t="s">
        <v>7</v>
      </c>
      <c r="G413" s="617">
        <f>G417</f>
        <v>0</v>
      </c>
      <c r="H413" s="617">
        <f t="shared" si="68"/>
        <v>599481.9</v>
      </c>
      <c r="I413" s="617">
        <f t="shared" si="68"/>
        <v>81188.08524</v>
      </c>
      <c r="J413" s="617">
        <f t="shared" si="68"/>
        <v>0</v>
      </c>
      <c r="K413" s="617">
        <f t="shared" si="68"/>
        <v>0</v>
      </c>
      <c r="L413" s="615"/>
      <c r="M413" s="1096"/>
      <c r="N413" s="1099"/>
    </row>
    <row r="414" spans="1:14" x14ac:dyDescent="0.25">
      <c r="A414" s="843" t="s">
        <v>1588</v>
      </c>
      <c r="B414" s="844"/>
      <c r="C414" s="844"/>
      <c r="D414" s="844"/>
      <c r="E414" s="844"/>
      <c r="F414" s="844"/>
      <c r="G414" s="844"/>
      <c r="H414" s="844"/>
      <c r="I414" s="844"/>
      <c r="J414" s="844"/>
      <c r="K414" s="844"/>
      <c r="L414" s="844"/>
      <c r="M414" s="844"/>
      <c r="N414" s="845"/>
    </row>
    <row r="415" spans="1:14" x14ac:dyDescent="0.25">
      <c r="A415" s="880">
        <v>90</v>
      </c>
      <c r="B415" s="1093" t="s">
        <v>1590</v>
      </c>
      <c r="C415" s="880" t="s">
        <v>1591</v>
      </c>
      <c r="D415" s="905" t="s">
        <v>1592</v>
      </c>
      <c r="E415" s="1083">
        <v>2225466.7000000002</v>
      </c>
      <c r="F415" s="583" t="s">
        <v>3</v>
      </c>
      <c r="G415" s="584">
        <f>G416+G417</f>
        <v>0</v>
      </c>
      <c r="H415" s="584">
        <f t="shared" ref="H415:K415" si="69">H416+H417</f>
        <v>899481.9</v>
      </c>
      <c r="I415" s="584">
        <f t="shared" si="69"/>
        <v>381188.08523999999</v>
      </c>
      <c r="J415" s="584">
        <f t="shared" si="69"/>
        <v>0</v>
      </c>
      <c r="K415" s="584">
        <f t="shared" si="69"/>
        <v>0</v>
      </c>
      <c r="L415" s="585">
        <f>J415/H415</f>
        <v>0</v>
      </c>
      <c r="M415" s="1088">
        <v>0</v>
      </c>
      <c r="N415" s="1030" t="s">
        <v>1597</v>
      </c>
    </row>
    <row r="416" spans="1:14" x14ac:dyDescent="0.25">
      <c r="A416" s="880"/>
      <c r="B416" s="1093"/>
      <c r="C416" s="880"/>
      <c r="D416" s="905"/>
      <c r="E416" s="1083"/>
      <c r="F416" s="576" t="s">
        <v>179</v>
      </c>
      <c r="G416" s="502">
        <v>0</v>
      </c>
      <c r="H416" s="502">
        <v>300000</v>
      </c>
      <c r="I416" s="502">
        <v>300000</v>
      </c>
      <c r="J416" s="502">
        <v>0</v>
      </c>
      <c r="K416" s="578">
        <v>0</v>
      </c>
      <c r="L416" s="579">
        <f>J416/H416</f>
        <v>0</v>
      </c>
      <c r="M416" s="1088"/>
      <c r="N416" s="1030"/>
    </row>
    <row r="417" spans="1:14" x14ac:dyDescent="0.25">
      <c r="A417" s="880"/>
      <c r="B417" s="1093"/>
      <c r="C417" s="880"/>
      <c r="D417" s="905"/>
      <c r="E417" s="1083"/>
      <c r="F417" s="576" t="s">
        <v>1589</v>
      </c>
      <c r="G417" s="502">
        <v>0</v>
      </c>
      <c r="H417" s="502">
        <v>599481.9</v>
      </c>
      <c r="I417" s="502">
        <v>81188.08524</v>
      </c>
      <c r="J417" s="502">
        <v>0</v>
      </c>
      <c r="K417" s="578">
        <v>0</v>
      </c>
      <c r="L417" s="579">
        <f>J417/H417</f>
        <v>0</v>
      </c>
      <c r="M417" s="1088"/>
      <c r="N417" s="1030"/>
    </row>
  </sheetData>
  <mergeCells count="733">
    <mergeCell ref="M415:M417"/>
    <mergeCell ref="N415:N417"/>
    <mergeCell ref="N406:N410"/>
    <mergeCell ref="A411:E413"/>
    <mergeCell ref="M411:M413"/>
    <mergeCell ref="N411:N413"/>
    <mergeCell ref="A414:N414"/>
    <mergeCell ref="A415:A417"/>
    <mergeCell ref="B415:B417"/>
    <mergeCell ref="C415:C417"/>
    <mergeCell ref="D415:D417"/>
    <mergeCell ref="E415:E417"/>
    <mergeCell ref="A406:A410"/>
    <mergeCell ref="B406:B410"/>
    <mergeCell ref="C406:C410"/>
    <mergeCell ref="D406:D410"/>
    <mergeCell ref="E406:E410"/>
    <mergeCell ref="M406:M410"/>
    <mergeCell ref="N396:N400"/>
    <mergeCell ref="A401:A405"/>
    <mergeCell ref="B401:B405"/>
    <mergeCell ref="C401:C405"/>
    <mergeCell ref="D401:D405"/>
    <mergeCell ref="E401:E405"/>
    <mergeCell ref="M401:M405"/>
    <mergeCell ref="N401:N405"/>
    <mergeCell ref="A396:A400"/>
    <mergeCell ref="B396:B400"/>
    <mergeCell ref="C396:C400"/>
    <mergeCell ref="D396:D400"/>
    <mergeCell ref="E396:E400"/>
    <mergeCell ref="M396:M400"/>
    <mergeCell ref="A381:A385"/>
    <mergeCell ref="B381:B385"/>
    <mergeCell ref="C381:C385"/>
    <mergeCell ref="D381:D385"/>
    <mergeCell ref="E381:E385"/>
    <mergeCell ref="M381:M385"/>
    <mergeCell ref="N381:N385"/>
    <mergeCell ref="N386:N390"/>
    <mergeCell ref="A391:A395"/>
    <mergeCell ref="B391:B395"/>
    <mergeCell ref="C391:C395"/>
    <mergeCell ref="D391:D395"/>
    <mergeCell ref="E391:E395"/>
    <mergeCell ref="M391:M395"/>
    <mergeCell ref="N391:N395"/>
    <mergeCell ref="A386:A390"/>
    <mergeCell ref="B386:B390"/>
    <mergeCell ref="C386:C390"/>
    <mergeCell ref="D386:D390"/>
    <mergeCell ref="E386:E390"/>
    <mergeCell ref="M386:M390"/>
    <mergeCell ref="N366:N370"/>
    <mergeCell ref="A371:E374"/>
    <mergeCell ref="M371:M374"/>
    <mergeCell ref="N371:N374"/>
    <mergeCell ref="A375:N375"/>
    <mergeCell ref="A376:A380"/>
    <mergeCell ref="B376:B380"/>
    <mergeCell ref="C376:C380"/>
    <mergeCell ref="D376:D380"/>
    <mergeCell ref="E376:E380"/>
    <mergeCell ref="A366:A370"/>
    <mergeCell ref="B366:B370"/>
    <mergeCell ref="C366:C370"/>
    <mergeCell ref="D366:D370"/>
    <mergeCell ref="E366:E370"/>
    <mergeCell ref="M366:M370"/>
    <mergeCell ref="M376:M380"/>
    <mergeCell ref="N376:N380"/>
    <mergeCell ref="M357:M361"/>
    <mergeCell ref="N357:N361"/>
    <mergeCell ref="A362:E364"/>
    <mergeCell ref="M362:M364"/>
    <mergeCell ref="N362:N364"/>
    <mergeCell ref="A365:N365"/>
    <mergeCell ref="A357:A361"/>
    <mergeCell ref="B357:B361"/>
    <mergeCell ref="C357:C361"/>
    <mergeCell ref="D357:D361"/>
    <mergeCell ref="E357:E361"/>
    <mergeCell ref="L357:L361"/>
    <mergeCell ref="M347:M351"/>
    <mergeCell ref="N347:N351"/>
    <mergeCell ref="A352:A356"/>
    <mergeCell ref="B352:B356"/>
    <mergeCell ref="C352:C356"/>
    <mergeCell ref="D352:D356"/>
    <mergeCell ref="E352:E356"/>
    <mergeCell ref="L352:L356"/>
    <mergeCell ref="M352:M356"/>
    <mergeCell ref="N352:N356"/>
    <mergeCell ref="A347:A351"/>
    <mergeCell ref="B347:B351"/>
    <mergeCell ref="C347:C351"/>
    <mergeCell ref="D347:D351"/>
    <mergeCell ref="E347:E351"/>
    <mergeCell ref="L347:L351"/>
    <mergeCell ref="M341:M343"/>
    <mergeCell ref="N341:N343"/>
    <mergeCell ref="A344:A346"/>
    <mergeCell ref="B344:B346"/>
    <mergeCell ref="C344:C346"/>
    <mergeCell ref="D344:D346"/>
    <mergeCell ref="E344:E346"/>
    <mergeCell ref="L344:L346"/>
    <mergeCell ref="M344:M346"/>
    <mergeCell ref="N344:N346"/>
    <mergeCell ref="A341:A343"/>
    <mergeCell ref="B341:B343"/>
    <mergeCell ref="C341:C343"/>
    <mergeCell ref="D341:D343"/>
    <mergeCell ref="E341:E343"/>
    <mergeCell ref="L341:L343"/>
    <mergeCell ref="M335:M337"/>
    <mergeCell ref="N335:N337"/>
    <mergeCell ref="A338:A340"/>
    <mergeCell ref="B338:B340"/>
    <mergeCell ref="C338:C340"/>
    <mergeCell ref="D338:D340"/>
    <mergeCell ref="E338:E340"/>
    <mergeCell ref="L338:L340"/>
    <mergeCell ref="M338:M340"/>
    <mergeCell ref="N338:N340"/>
    <mergeCell ref="A335:A337"/>
    <mergeCell ref="B335:B337"/>
    <mergeCell ref="C335:C337"/>
    <mergeCell ref="D335:D337"/>
    <mergeCell ref="E335:E337"/>
    <mergeCell ref="L335:L337"/>
    <mergeCell ref="M329:M331"/>
    <mergeCell ref="N329:N331"/>
    <mergeCell ref="A332:A334"/>
    <mergeCell ref="B332:B334"/>
    <mergeCell ref="C332:C334"/>
    <mergeCell ref="D332:D334"/>
    <mergeCell ref="E332:E334"/>
    <mergeCell ref="L332:L334"/>
    <mergeCell ref="M332:M334"/>
    <mergeCell ref="N332:N334"/>
    <mergeCell ref="A329:A331"/>
    <mergeCell ref="B329:B331"/>
    <mergeCell ref="C329:C331"/>
    <mergeCell ref="D329:D331"/>
    <mergeCell ref="E329:E331"/>
    <mergeCell ref="L329:L331"/>
    <mergeCell ref="M321:M325"/>
    <mergeCell ref="N321:N325"/>
    <mergeCell ref="A326:A328"/>
    <mergeCell ref="B326:B328"/>
    <mergeCell ref="C326:C328"/>
    <mergeCell ref="D326:D328"/>
    <mergeCell ref="E326:E328"/>
    <mergeCell ref="L326:L328"/>
    <mergeCell ref="M326:M328"/>
    <mergeCell ref="N326:N328"/>
    <mergeCell ref="A321:A325"/>
    <mergeCell ref="B321:B325"/>
    <mergeCell ref="C321:C325"/>
    <mergeCell ref="D321:D325"/>
    <mergeCell ref="E321:E325"/>
    <mergeCell ref="L321:L325"/>
    <mergeCell ref="M315:M317"/>
    <mergeCell ref="N315:N317"/>
    <mergeCell ref="A318:A320"/>
    <mergeCell ref="B318:B320"/>
    <mergeCell ref="C318:C320"/>
    <mergeCell ref="D318:D320"/>
    <mergeCell ref="E318:E320"/>
    <mergeCell ref="L318:L320"/>
    <mergeCell ref="M318:M320"/>
    <mergeCell ref="N318:N320"/>
    <mergeCell ref="A315:A317"/>
    <mergeCell ref="B315:B317"/>
    <mergeCell ref="C315:C317"/>
    <mergeCell ref="D315:D317"/>
    <mergeCell ref="E315:E317"/>
    <mergeCell ref="L315:L317"/>
    <mergeCell ref="M305:M309"/>
    <mergeCell ref="N305:N309"/>
    <mergeCell ref="A310:A314"/>
    <mergeCell ref="B310:B314"/>
    <mergeCell ref="C310:C314"/>
    <mergeCell ref="D310:D314"/>
    <mergeCell ref="E310:E314"/>
    <mergeCell ref="L310:L314"/>
    <mergeCell ref="M310:M314"/>
    <mergeCell ref="N310:N314"/>
    <mergeCell ref="A305:A309"/>
    <mergeCell ref="B305:B309"/>
    <mergeCell ref="C305:C309"/>
    <mergeCell ref="D305:D309"/>
    <mergeCell ref="E305:E309"/>
    <mergeCell ref="L305:L309"/>
    <mergeCell ref="M299:M300"/>
    <mergeCell ref="N299:N300"/>
    <mergeCell ref="A301:A304"/>
    <mergeCell ref="B301:B304"/>
    <mergeCell ref="C301:C304"/>
    <mergeCell ref="D301:D304"/>
    <mergeCell ref="E301:E304"/>
    <mergeCell ref="L301:L304"/>
    <mergeCell ref="M301:M304"/>
    <mergeCell ref="N301:N304"/>
    <mergeCell ref="A299:A300"/>
    <mergeCell ref="B299:B300"/>
    <mergeCell ref="C299:C300"/>
    <mergeCell ref="D299:D300"/>
    <mergeCell ref="E299:E300"/>
    <mergeCell ref="L299:L300"/>
    <mergeCell ref="M295:M296"/>
    <mergeCell ref="N295:N296"/>
    <mergeCell ref="A297:A298"/>
    <mergeCell ref="B297:B298"/>
    <mergeCell ref="C297:C298"/>
    <mergeCell ref="D297:D298"/>
    <mergeCell ref="E297:E298"/>
    <mergeCell ref="L297:L298"/>
    <mergeCell ref="M297:M298"/>
    <mergeCell ref="N297:N298"/>
    <mergeCell ref="A295:A296"/>
    <mergeCell ref="B295:B296"/>
    <mergeCell ref="C295:C296"/>
    <mergeCell ref="D295:D296"/>
    <mergeCell ref="E295:E296"/>
    <mergeCell ref="L295:L296"/>
    <mergeCell ref="M291:M292"/>
    <mergeCell ref="N291:N292"/>
    <mergeCell ref="A293:A294"/>
    <mergeCell ref="B293:B294"/>
    <mergeCell ref="C293:C294"/>
    <mergeCell ref="D293:D294"/>
    <mergeCell ref="E293:E294"/>
    <mergeCell ref="L293:L294"/>
    <mergeCell ref="M293:M294"/>
    <mergeCell ref="N293:N294"/>
    <mergeCell ref="A291:A292"/>
    <mergeCell ref="B291:B292"/>
    <mergeCell ref="C291:C292"/>
    <mergeCell ref="D291:D292"/>
    <mergeCell ref="E291:E292"/>
    <mergeCell ref="L291:L292"/>
    <mergeCell ref="M283:M286"/>
    <mergeCell ref="N283:N286"/>
    <mergeCell ref="A287:A290"/>
    <mergeCell ref="B287:B290"/>
    <mergeCell ref="C287:C290"/>
    <mergeCell ref="D287:D290"/>
    <mergeCell ref="E287:E290"/>
    <mergeCell ref="L287:L290"/>
    <mergeCell ref="M287:M290"/>
    <mergeCell ref="N287:N290"/>
    <mergeCell ref="A283:A286"/>
    <mergeCell ref="B283:B286"/>
    <mergeCell ref="C283:C286"/>
    <mergeCell ref="D283:D286"/>
    <mergeCell ref="E283:E286"/>
    <mergeCell ref="L283:L286"/>
    <mergeCell ref="M275:M278"/>
    <mergeCell ref="N275:N278"/>
    <mergeCell ref="A279:A282"/>
    <mergeCell ref="B279:B282"/>
    <mergeCell ref="C279:C282"/>
    <mergeCell ref="D279:D282"/>
    <mergeCell ref="E279:E282"/>
    <mergeCell ref="L279:L282"/>
    <mergeCell ref="M279:M282"/>
    <mergeCell ref="N279:N282"/>
    <mergeCell ref="A275:A278"/>
    <mergeCell ref="B275:B278"/>
    <mergeCell ref="C275:C278"/>
    <mergeCell ref="D275:D278"/>
    <mergeCell ref="E275:E278"/>
    <mergeCell ref="L275:L278"/>
    <mergeCell ref="M267:M270"/>
    <mergeCell ref="N267:N270"/>
    <mergeCell ref="A271:A274"/>
    <mergeCell ref="B271:B274"/>
    <mergeCell ref="C271:C274"/>
    <mergeCell ref="D271:D274"/>
    <mergeCell ref="E271:E274"/>
    <mergeCell ref="L271:L274"/>
    <mergeCell ref="M271:M274"/>
    <mergeCell ref="N271:N274"/>
    <mergeCell ref="A267:A270"/>
    <mergeCell ref="B267:B270"/>
    <mergeCell ref="C267:C270"/>
    <mergeCell ref="D267:D270"/>
    <mergeCell ref="E267:E270"/>
    <mergeCell ref="L267:L270"/>
    <mergeCell ref="M259:M262"/>
    <mergeCell ref="N259:N262"/>
    <mergeCell ref="A263:A266"/>
    <mergeCell ref="B263:B266"/>
    <mergeCell ref="C263:C266"/>
    <mergeCell ref="D263:D266"/>
    <mergeCell ref="E263:E266"/>
    <mergeCell ref="L263:L266"/>
    <mergeCell ref="M263:M266"/>
    <mergeCell ref="N263:N266"/>
    <mergeCell ref="A259:A262"/>
    <mergeCell ref="B259:B262"/>
    <mergeCell ref="C259:C262"/>
    <mergeCell ref="D259:D262"/>
    <mergeCell ref="E259:E262"/>
    <mergeCell ref="L259:L262"/>
    <mergeCell ref="M253:M255"/>
    <mergeCell ref="N253:N255"/>
    <mergeCell ref="A256:A258"/>
    <mergeCell ref="B256:B258"/>
    <mergeCell ref="C256:C258"/>
    <mergeCell ref="D256:D258"/>
    <mergeCell ref="E256:E258"/>
    <mergeCell ref="L256:L258"/>
    <mergeCell ref="M256:M258"/>
    <mergeCell ref="N256:N258"/>
    <mergeCell ref="A253:A255"/>
    <mergeCell ref="B253:B255"/>
    <mergeCell ref="C253:C255"/>
    <mergeCell ref="D253:D255"/>
    <mergeCell ref="E253:E255"/>
    <mergeCell ref="L253:L255"/>
    <mergeCell ref="A249:N249"/>
    <mergeCell ref="A250:A252"/>
    <mergeCell ref="B250:B252"/>
    <mergeCell ref="C250:C252"/>
    <mergeCell ref="D250:D252"/>
    <mergeCell ref="E250:E252"/>
    <mergeCell ref="L250:L252"/>
    <mergeCell ref="M250:M252"/>
    <mergeCell ref="N250:N252"/>
    <mergeCell ref="M239:M243"/>
    <mergeCell ref="N239:N243"/>
    <mergeCell ref="A244:A248"/>
    <mergeCell ref="B244:B248"/>
    <mergeCell ref="C244:C248"/>
    <mergeCell ref="D244:D248"/>
    <mergeCell ref="E244:E248"/>
    <mergeCell ref="L244:L248"/>
    <mergeCell ref="M244:M248"/>
    <mergeCell ref="N244:N248"/>
    <mergeCell ref="A239:A243"/>
    <mergeCell ref="B239:B243"/>
    <mergeCell ref="C239:C243"/>
    <mergeCell ref="D239:D243"/>
    <mergeCell ref="E239:E243"/>
    <mergeCell ref="L239:L243"/>
    <mergeCell ref="M229:M233"/>
    <mergeCell ref="N229:N233"/>
    <mergeCell ref="A234:A238"/>
    <mergeCell ref="B234:B238"/>
    <mergeCell ref="C234:C238"/>
    <mergeCell ref="D234:D238"/>
    <mergeCell ref="E234:E238"/>
    <mergeCell ref="L234:L238"/>
    <mergeCell ref="M234:M238"/>
    <mergeCell ref="N234:N238"/>
    <mergeCell ref="A229:A233"/>
    <mergeCell ref="B229:B233"/>
    <mergeCell ref="C229:C233"/>
    <mergeCell ref="D229:D233"/>
    <mergeCell ref="E229:E233"/>
    <mergeCell ref="L229:L233"/>
    <mergeCell ref="M219:M223"/>
    <mergeCell ref="N219:N223"/>
    <mergeCell ref="A224:A228"/>
    <mergeCell ref="B224:B228"/>
    <mergeCell ref="C224:C228"/>
    <mergeCell ref="D224:D228"/>
    <mergeCell ref="E224:E228"/>
    <mergeCell ref="L224:L228"/>
    <mergeCell ref="M224:M228"/>
    <mergeCell ref="N224:N228"/>
    <mergeCell ref="A219:A223"/>
    <mergeCell ref="B219:B223"/>
    <mergeCell ref="C219:C223"/>
    <mergeCell ref="D219:D223"/>
    <mergeCell ref="E219:E223"/>
    <mergeCell ref="L219:L223"/>
    <mergeCell ref="M209:M213"/>
    <mergeCell ref="N209:N213"/>
    <mergeCell ref="A214:A218"/>
    <mergeCell ref="B214:B218"/>
    <mergeCell ref="C214:C218"/>
    <mergeCell ref="D214:D218"/>
    <mergeCell ref="E214:E218"/>
    <mergeCell ref="L214:L218"/>
    <mergeCell ref="M214:M218"/>
    <mergeCell ref="N214:N218"/>
    <mergeCell ref="A209:A213"/>
    <mergeCell ref="B209:B213"/>
    <mergeCell ref="C209:C213"/>
    <mergeCell ref="D209:D213"/>
    <mergeCell ref="E209:E213"/>
    <mergeCell ref="L209:L213"/>
    <mergeCell ref="M201:M204"/>
    <mergeCell ref="N201:N204"/>
    <mergeCell ref="A205:A208"/>
    <mergeCell ref="B205:B208"/>
    <mergeCell ref="C205:C208"/>
    <mergeCell ref="D205:D208"/>
    <mergeCell ref="E205:E208"/>
    <mergeCell ref="L205:L208"/>
    <mergeCell ref="M205:M208"/>
    <mergeCell ref="N205:N208"/>
    <mergeCell ref="A201:A204"/>
    <mergeCell ref="B201:B204"/>
    <mergeCell ref="C201:C204"/>
    <mergeCell ref="D201:D204"/>
    <mergeCell ref="E201:E204"/>
    <mergeCell ref="L201:L204"/>
    <mergeCell ref="M193:M196"/>
    <mergeCell ref="N193:N196"/>
    <mergeCell ref="A197:A200"/>
    <mergeCell ref="B197:B200"/>
    <mergeCell ref="C197:C200"/>
    <mergeCell ref="D197:D200"/>
    <mergeCell ref="E197:E200"/>
    <mergeCell ref="L197:L200"/>
    <mergeCell ref="M197:M200"/>
    <mergeCell ref="N197:N200"/>
    <mergeCell ref="A193:A196"/>
    <mergeCell ref="B193:B196"/>
    <mergeCell ref="C193:C196"/>
    <mergeCell ref="D193:D196"/>
    <mergeCell ref="E193:E196"/>
    <mergeCell ref="L193:L196"/>
    <mergeCell ref="M185:M188"/>
    <mergeCell ref="N185:N188"/>
    <mergeCell ref="A189:A192"/>
    <mergeCell ref="B189:B192"/>
    <mergeCell ref="C189:C192"/>
    <mergeCell ref="D189:D192"/>
    <mergeCell ref="E189:E192"/>
    <mergeCell ref="L189:L192"/>
    <mergeCell ref="M189:M192"/>
    <mergeCell ref="N189:N192"/>
    <mergeCell ref="A185:A188"/>
    <mergeCell ref="B185:B188"/>
    <mergeCell ref="C185:C188"/>
    <mergeCell ref="D185:D188"/>
    <mergeCell ref="E185:E188"/>
    <mergeCell ref="L185:L188"/>
    <mergeCell ref="A180:N180"/>
    <mergeCell ref="A181:A184"/>
    <mergeCell ref="B181:B184"/>
    <mergeCell ref="C181:C184"/>
    <mergeCell ref="D181:D184"/>
    <mergeCell ref="E181:E184"/>
    <mergeCell ref="L181:L184"/>
    <mergeCell ref="M181:M184"/>
    <mergeCell ref="N181:N184"/>
    <mergeCell ref="M174:M176"/>
    <mergeCell ref="N174:N176"/>
    <mergeCell ref="A177:A179"/>
    <mergeCell ref="B177:B179"/>
    <mergeCell ref="C177:C179"/>
    <mergeCell ref="D177:D179"/>
    <mergeCell ref="E177:E179"/>
    <mergeCell ref="L177:L179"/>
    <mergeCell ref="M177:M179"/>
    <mergeCell ref="N177:N179"/>
    <mergeCell ref="A174:A176"/>
    <mergeCell ref="B174:B176"/>
    <mergeCell ref="C174:C176"/>
    <mergeCell ref="D174:D176"/>
    <mergeCell ref="E174:E176"/>
    <mergeCell ref="L174:L176"/>
    <mergeCell ref="M169:M171"/>
    <mergeCell ref="N169:N171"/>
    <mergeCell ref="A172:A173"/>
    <mergeCell ref="B172:B173"/>
    <mergeCell ref="C172:C173"/>
    <mergeCell ref="D172:D173"/>
    <mergeCell ref="L172:L173"/>
    <mergeCell ref="M172:M173"/>
    <mergeCell ref="N172:N173"/>
    <mergeCell ref="A169:A171"/>
    <mergeCell ref="B169:B171"/>
    <mergeCell ref="C169:C171"/>
    <mergeCell ref="D169:D171"/>
    <mergeCell ref="E169:E171"/>
    <mergeCell ref="L169:L171"/>
    <mergeCell ref="M163:M165"/>
    <mergeCell ref="N163:N165"/>
    <mergeCell ref="A166:A168"/>
    <mergeCell ref="B166:B168"/>
    <mergeCell ref="C166:C168"/>
    <mergeCell ref="D166:D168"/>
    <mergeCell ref="E166:E168"/>
    <mergeCell ref="L166:L168"/>
    <mergeCell ref="M166:M168"/>
    <mergeCell ref="N166:N168"/>
    <mergeCell ref="A163:A165"/>
    <mergeCell ref="B163:B165"/>
    <mergeCell ref="C163:C165"/>
    <mergeCell ref="D163:D165"/>
    <mergeCell ref="E163:E165"/>
    <mergeCell ref="L163:L165"/>
    <mergeCell ref="A159:N159"/>
    <mergeCell ref="A160:A162"/>
    <mergeCell ref="B160:B162"/>
    <mergeCell ref="C160:C162"/>
    <mergeCell ref="D160:D162"/>
    <mergeCell ref="E160:E162"/>
    <mergeCell ref="L160:L162"/>
    <mergeCell ref="M160:M162"/>
    <mergeCell ref="N160:N162"/>
    <mergeCell ref="A154:N154"/>
    <mergeCell ref="A155:A158"/>
    <mergeCell ref="B155:B158"/>
    <mergeCell ref="C155:C158"/>
    <mergeCell ref="D155:D158"/>
    <mergeCell ref="E155:E158"/>
    <mergeCell ref="L155:L158"/>
    <mergeCell ref="M155:M158"/>
    <mergeCell ref="N155:N158"/>
    <mergeCell ref="A139:A143"/>
    <mergeCell ref="B139:B143"/>
    <mergeCell ref="C139:C143"/>
    <mergeCell ref="D139:D143"/>
    <mergeCell ref="E139:E143"/>
    <mergeCell ref="M139:M143"/>
    <mergeCell ref="N139:N143"/>
    <mergeCell ref="N144:N148"/>
    <mergeCell ref="A149:A153"/>
    <mergeCell ref="B149:B153"/>
    <mergeCell ref="C149:C153"/>
    <mergeCell ref="D149:D153"/>
    <mergeCell ref="E149:E153"/>
    <mergeCell ref="L149:L153"/>
    <mergeCell ref="M149:M153"/>
    <mergeCell ref="N149:N153"/>
    <mergeCell ref="A144:A148"/>
    <mergeCell ref="B144:B148"/>
    <mergeCell ref="C144:C148"/>
    <mergeCell ref="D144:D148"/>
    <mergeCell ref="E144:E148"/>
    <mergeCell ref="M144:M148"/>
    <mergeCell ref="N126:N130"/>
    <mergeCell ref="A131:E135"/>
    <mergeCell ref="M131:M135"/>
    <mergeCell ref="N131:N135"/>
    <mergeCell ref="A136:N136"/>
    <mergeCell ref="A137:A138"/>
    <mergeCell ref="B137:B138"/>
    <mergeCell ref="C137:C138"/>
    <mergeCell ref="D137:D138"/>
    <mergeCell ref="E137:E138"/>
    <mergeCell ref="A126:A130"/>
    <mergeCell ref="B126:B130"/>
    <mergeCell ref="C126:C130"/>
    <mergeCell ref="D126:D130"/>
    <mergeCell ref="E126:E130"/>
    <mergeCell ref="M126:M130"/>
    <mergeCell ref="M137:M138"/>
    <mergeCell ref="N137:N138"/>
    <mergeCell ref="A121:A125"/>
    <mergeCell ref="B121:B125"/>
    <mergeCell ref="C121:C125"/>
    <mergeCell ref="D121:D125"/>
    <mergeCell ref="E121:E125"/>
    <mergeCell ref="M121:M125"/>
    <mergeCell ref="N121:N125"/>
    <mergeCell ref="A116:A120"/>
    <mergeCell ref="B116:B120"/>
    <mergeCell ref="C116:C120"/>
    <mergeCell ref="D116:D120"/>
    <mergeCell ref="E116:E120"/>
    <mergeCell ref="M116:M120"/>
    <mergeCell ref="A110:N110"/>
    <mergeCell ref="A111:A115"/>
    <mergeCell ref="B111:B115"/>
    <mergeCell ref="C111:C115"/>
    <mergeCell ref="D111:D115"/>
    <mergeCell ref="E111:E115"/>
    <mergeCell ref="M111:M115"/>
    <mergeCell ref="N111:N115"/>
    <mergeCell ref="N116:N120"/>
    <mergeCell ref="A101:E105"/>
    <mergeCell ref="M101:M105"/>
    <mergeCell ref="N101:N105"/>
    <mergeCell ref="A106:N106"/>
    <mergeCell ref="A107:A109"/>
    <mergeCell ref="B107:B109"/>
    <mergeCell ref="C107:C109"/>
    <mergeCell ref="D107:D109"/>
    <mergeCell ref="E107:E109"/>
    <mergeCell ref="M107:M109"/>
    <mergeCell ref="N107:N109"/>
    <mergeCell ref="D76:D80"/>
    <mergeCell ref="E76:E80"/>
    <mergeCell ref="M76:M80"/>
    <mergeCell ref="B96:B100"/>
    <mergeCell ref="C96:C100"/>
    <mergeCell ref="D96:D100"/>
    <mergeCell ref="E96:E100"/>
    <mergeCell ref="M96:M100"/>
    <mergeCell ref="N96:N100"/>
    <mergeCell ref="B91:B95"/>
    <mergeCell ref="C91:C95"/>
    <mergeCell ref="D91:D95"/>
    <mergeCell ref="E91:E95"/>
    <mergeCell ref="M91:M95"/>
    <mergeCell ref="N91:N95"/>
    <mergeCell ref="A73:A75"/>
    <mergeCell ref="B73:B75"/>
    <mergeCell ref="C73:C75"/>
    <mergeCell ref="D73:D75"/>
    <mergeCell ref="E73:E75"/>
    <mergeCell ref="M73:M75"/>
    <mergeCell ref="N73:N75"/>
    <mergeCell ref="B86:B90"/>
    <mergeCell ref="C86:C90"/>
    <mergeCell ref="D86:D90"/>
    <mergeCell ref="E86:E90"/>
    <mergeCell ref="M86:M90"/>
    <mergeCell ref="N86:N90"/>
    <mergeCell ref="N76:N80"/>
    <mergeCell ref="A81:A85"/>
    <mergeCell ref="B81:B85"/>
    <mergeCell ref="C81:C85"/>
    <mergeCell ref="D81:D85"/>
    <mergeCell ref="E81:E85"/>
    <mergeCell ref="M81:M85"/>
    <mergeCell ref="N81:N85"/>
    <mergeCell ref="A76:A80"/>
    <mergeCell ref="B76:B80"/>
    <mergeCell ref="C76:C80"/>
    <mergeCell ref="N58:N62"/>
    <mergeCell ref="A63:E67"/>
    <mergeCell ref="M63:M67"/>
    <mergeCell ref="N63:N67"/>
    <mergeCell ref="A68:N68"/>
    <mergeCell ref="A69:A72"/>
    <mergeCell ref="B69:B72"/>
    <mergeCell ref="D69:D72"/>
    <mergeCell ref="E69:E72"/>
    <mergeCell ref="M69:M72"/>
    <mergeCell ref="A58:A62"/>
    <mergeCell ref="B58:B62"/>
    <mergeCell ref="C58:C62"/>
    <mergeCell ref="D58:D62"/>
    <mergeCell ref="E58:E62"/>
    <mergeCell ref="M58:M62"/>
    <mergeCell ref="N69:N72"/>
    <mergeCell ref="C70:C72"/>
    <mergeCell ref="N50:N53"/>
    <mergeCell ref="A54:A57"/>
    <mergeCell ref="B54:B57"/>
    <mergeCell ref="C54:C57"/>
    <mergeCell ref="D54:D57"/>
    <mergeCell ref="E54:E57"/>
    <mergeCell ref="M54:M57"/>
    <mergeCell ref="N54:N57"/>
    <mergeCell ref="A45:E48"/>
    <mergeCell ref="M45:M48"/>
    <mergeCell ref="N45:N48"/>
    <mergeCell ref="A49:N49"/>
    <mergeCell ref="A50:A53"/>
    <mergeCell ref="B50:B53"/>
    <mergeCell ref="C50:C53"/>
    <mergeCell ref="D50:D53"/>
    <mergeCell ref="E50:E53"/>
    <mergeCell ref="M50:M53"/>
    <mergeCell ref="N35:N39"/>
    <mergeCell ref="A40:A44"/>
    <mergeCell ref="B40:B44"/>
    <mergeCell ref="C40:C44"/>
    <mergeCell ref="D40:D44"/>
    <mergeCell ref="E40:E44"/>
    <mergeCell ref="M40:M44"/>
    <mergeCell ref="N40:N44"/>
    <mergeCell ref="A35:A39"/>
    <mergeCell ref="B35:B39"/>
    <mergeCell ref="C35:C39"/>
    <mergeCell ref="D35:D39"/>
    <mergeCell ref="E35:E39"/>
    <mergeCell ref="M35:M39"/>
    <mergeCell ref="N27:N29"/>
    <mergeCell ref="A30:A34"/>
    <mergeCell ref="B30:B34"/>
    <mergeCell ref="C30:C34"/>
    <mergeCell ref="D30:D34"/>
    <mergeCell ref="E30:E34"/>
    <mergeCell ref="M30:M34"/>
    <mergeCell ref="N30:N34"/>
    <mergeCell ref="A27:A29"/>
    <mergeCell ref="B27:B29"/>
    <mergeCell ref="C27:C29"/>
    <mergeCell ref="D27:D29"/>
    <mergeCell ref="E27:E29"/>
    <mergeCell ref="M27:M29"/>
    <mergeCell ref="N19:N21"/>
    <mergeCell ref="A22:A26"/>
    <mergeCell ref="B22:B26"/>
    <mergeCell ref="C22:C26"/>
    <mergeCell ref="D22:D26"/>
    <mergeCell ref="E22:E26"/>
    <mergeCell ref="M22:M26"/>
    <mergeCell ref="N22:N26"/>
    <mergeCell ref="A19:A21"/>
    <mergeCell ref="B19:B21"/>
    <mergeCell ref="C19:C21"/>
    <mergeCell ref="D19:D21"/>
    <mergeCell ref="E19:E21"/>
    <mergeCell ref="M19:M21"/>
    <mergeCell ref="A15:N15"/>
    <mergeCell ref="A16:A18"/>
    <mergeCell ref="B16:B18"/>
    <mergeCell ref="C16:C18"/>
    <mergeCell ref="D16:D18"/>
    <mergeCell ref="E16:E18"/>
    <mergeCell ref="M16:M18"/>
    <mergeCell ref="N16:N18"/>
    <mergeCell ref="N3:N4"/>
    <mergeCell ref="A5:E9"/>
    <mergeCell ref="M5:M9"/>
    <mergeCell ref="N5:N9"/>
    <mergeCell ref="A10:E14"/>
    <mergeCell ref="M10:M11"/>
    <mergeCell ref="N10:N11"/>
    <mergeCell ref="A2:N2"/>
    <mergeCell ref="A3:A4"/>
    <mergeCell ref="B3:B4"/>
    <mergeCell ref="C3:C4"/>
    <mergeCell ref="D3:D4"/>
    <mergeCell ref="E3:E4"/>
    <mergeCell ref="F3:F4"/>
    <mergeCell ref="G3:G4"/>
    <mergeCell ref="H3:L3"/>
    <mergeCell ref="M3:M4"/>
  </mergeCells>
  <conditionalFormatting sqref="H18">
    <cfRule type="expression" dxfId="0" priority="1">
      <formula>#REF!="Всего"</formula>
    </cfRule>
  </conditionalFormatting>
  <dataValidations count="1">
    <dataValidation type="decimal" operator="greaterThanOrEqual" allowBlank="1" showInputMessage="1" showErrorMessage="1" sqref="H16:J18 I20:J20 K18">
      <formula1>0</formula1>
    </dataValidation>
  </dataValidations>
  <pageMargins left="0.70866141732283472" right="0.70866141732283472" top="0.74803149606299213" bottom="0.74803149606299213" header="0.31496062992125984" footer="0.31496062992125984"/>
  <pageSetup paperSize="9" scale="51" fitToHeight="0" orientation="landscape" r:id="rId1"/>
  <headerFooter differentFirst="1">
    <oddFooter>&amp;C&amp;"Times New Roman,обычный"&amp;P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outlinePr summaryBelow="0"/>
    <pageSetUpPr fitToPage="1"/>
  </sheetPr>
  <dimension ref="A1:AG93"/>
  <sheetViews>
    <sheetView view="pageBreakPreview" zoomScaleSheetLayoutView="100" workbookViewId="0">
      <pane xSplit="2" ySplit="8" topLeftCell="C54" activePane="bottomRight" state="frozen"/>
      <selection pane="topRight" activeCell="C1" sqref="C1"/>
      <selection pane="bottomLeft" activeCell="A9" sqref="A9"/>
      <selection pane="bottomRight" activeCell="AN38" sqref="AN38"/>
    </sheetView>
  </sheetViews>
  <sheetFormatPr defaultRowHeight="15" outlineLevelRow="1" x14ac:dyDescent="0.25"/>
  <cols>
    <col min="1" max="1" width="4.5703125" style="29" customWidth="1"/>
    <col min="2" max="2" width="51.85546875" style="4" customWidth="1"/>
    <col min="3" max="3" width="6.140625" style="4" bestFit="1" customWidth="1"/>
    <col min="4" max="4" width="4.85546875" style="4" customWidth="1"/>
    <col min="5" max="5" width="7.140625" style="4" customWidth="1"/>
    <col min="6" max="6" width="6.7109375" style="4" customWidth="1"/>
    <col min="7" max="7" width="6.5703125" style="4" customWidth="1"/>
    <col min="8" max="8" width="6.42578125" style="4" customWidth="1"/>
    <col min="9" max="9" width="7.42578125" style="4" customWidth="1"/>
    <col min="10" max="10" width="7.7109375" style="4" customWidth="1"/>
    <col min="11" max="11" width="8" style="4" customWidth="1"/>
    <col min="12" max="12" width="7.140625" style="4" customWidth="1"/>
    <col min="13" max="13" width="9.140625" style="4" bestFit="1" customWidth="1"/>
    <col min="14" max="14" width="7.42578125" style="4" customWidth="1"/>
    <col min="15" max="15" width="6.42578125" style="4" customWidth="1"/>
    <col min="16" max="16" width="7" style="4" customWidth="1"/>
    <col min="17" max="17" width="6.140625" style="4" customWidth="1"/>
    <col min="18" max="18" width="7.42578125" style="4" customWidth="1"/>
    <col min="19" max="19" width="8.140625" style="4" customWidth="1"/>
    <col min="20" max="20" width="8.28515625" style="4" customWidth="1"/>
    <col min="21" max="33" width="9.140625" style="4" hidden="1" customWidth="1"/>
    <col min="34" max="46" width="9.140625" style="4" customWidth="1"/>
    <col min="47" max="254" width="9.140625" style="4"/>
    <col min="255" max="255" width="3.7109375" style="4" customWidth="1"/>
    <col min="256" max="256" width="41.140625" style="4" customWidth="1"/>
    <col min="257" max="257" width="4.7109375" style="4" customWidth="1"/>
    <col min="258" max="258" width="4.85546875" style="4" customWidth="1"/>
    <col min="259" max="259" width="7.140625" style="4" customWidth="1"/>
    <col min="260" max="260" width="6.7109375" style="4" customWidth="1"/>
    <col min="261" max="261" width="6.5703125" style="4" customWidth="1"/>
    <col min="262" max="262" width="6.42578125" style="4" customWidth="1"/>
    <col min="263" max="263" width="6" style="4" customWidth="1"/>
    <col min="264" max="264" width="7.7109375" style="4" customWidth="1"/>
    <col min="265" max="265" width="8" style="4" customWidth="1"/>
    <col min="266" max="266" width="7.140625" style="4" customWidth="1"/>
    <col min="267" max="267" width="6.5703125" style="4" customWidth="1"/>
    <col min="268" max="268" width="5.42578125" style="4" customWidth="1"/>
    <col min="269" max="269" width="4.140625" style="4" customWidth="1"/>
    <col min="270" max="270" width="5.85546875" style="4" customWidth="1"/>
    <col min="271" max="271" width="4.7109375" style="4" customWidth="1"/>
    <col min="272" max="272" width="7.42578125" style="4" customWidth="1"/>
    <col min="273" max="273" width="8.140625" style="4" customWidth="1"/>
    <col min="274" max="274" width="8.28515625" style="4" customWidth="1"/>
    <col min="275" max="510" width="9.140625" style="4"/>
    <col min="511" max="511" width="3.7109375" style="4" customWidth="1"/>
    <col min="512" max="512" width="41.140625" style="4" customWidth="1"/>
    <col min="513" max="513" width="4.7109375" style="4" customWidth="1"/>
    <col min="514" max="514" width="4.85546875" style="4" customWidth="1"/>
    <col min="515" max="515" width="7.140625" style="4" customWidth="1"/>
    <col min="516" max="516" width="6.7109375" style="4" customWidth="1"/>
    <col min="517" max="517" width="6.5703125" style="4" customWidth="1"/>
    <col min="518" max="518" width="6.42578125" style="4" customWidth="1"/>
    <col min="519" max="519" width="6" style="4" customWidth="1"/>
    <col min="520" max="520" width="7.7109375" style="4" customWidth="1"/>
    <col min="521" max="521" width="8" style="4" customWidth="1"/>
    <col min="522" max="522" width="7.140625" style="4" customWidth="1"/>
    <col min="523" max="523" width="6.5703125" style="4" customWidth="1"/>
    <col min="524" max="524" width="5.42578125" style="4" customWidth="1"/>
    <col min="525" max="525" width="4.140625" style="4" customWidth="1"/>
    <col min="526" max="526" width="5.85546875" style="4" customWidth="1"/>
    <col min="527" max="527" width="4.7109375" style="4" customWidth="1"/>
    <col min="528" max="528" width="7.42578125" style="4" customWidth="1"/>
    <col min="529" max="529" width="8.140625" style="4" customWidth="1"/>
    <col min="530" max="530" width="8.28515625" style="4" customWidth="1"/>
    <col min="531" max="766" width="9.140625" style="4"/>
    <col min="767" max="767" width="3.7109375" style="4" customWidth="1"/>
    <col min="768" max="768" width="41.140625" style="4" customWidth="1"/>
    <col min="769" max="769" width="4.7109375" style="4" customWidth="1"/>
    <col min="770" max="770" width="4.85546875" style="4" customWidth="1"/>
    <col min="771" max="771" width="7.140625" style="4" customWidth="1"/>
    <col min="772" max="772" width="6.7109375" style="4" customWidth="1"/>
    <col min="773" max="773" width="6.5703125" style="4" customWidth="1"/>
    <col min="774" max="774" width="6.42578125" style="4" customWidth="1"/>
    <col min="775" max="775" width="6" style="4" customWidth="1"/>
    <col min="776" max="776" width="7.7109375" style="4" customWidth="1"/>
    <col min="777" max="777" width="8" style="4" customWidth="1"/>
    <col min="778" max="778" width="7.140625" style="4" customWidth="1"/>
    <col min="779" max="779" width="6.5703125" style="4" customWidth="1"/>
    <col min="780" max="780" width="5.42578125" style="4" customWidth="1"/>
    <col min="781" max="781" width="4.140625" style="4" customWidth="1"/>
    <col min="782" max="782" width="5.85546875" style="4" customWidth="1"/>
    <col min="783" max="783" width="4.7109375" style="4" customWidth="1"/>
    <col min="784" max="784" width="7.42578125" style="4" customWidth="1"/>
    <col min="785" max="785" width="8.140625" style="4" customWidth="1"/>
    <col min="786" max="786" width="8.28515625" style="4" customWidth="1"/>
    <col min="787" max="1022" width="9.140625" style="4"/>
    <col min="1023" max="1023" width="3.7109375" style="4" customWidth="1"/>
    <col min="1024" max="1024" width="41.140625" style="4" customWidth="1"/>
    <col min="1025" max="1025" width="4.7109375" style="4" customWidth="1"/>
    <col min="1026" max="1026" width="4.85546875" style="4" customWidth="1"/>
    <col min="1027" max="1027" width="7.140625" style="4" customWidth="1"/>
    <col min="1028" max="1028" width="6.7109375" style="4" customWidth="1"/>
    <col min="1029" max="1029" width="6.5703125" style="4" customWidth="1"/>
    <col min="1030" max="1030" width="6.42578125" style="4" customWidth="1"/>
    <col min="1031" max="1031" width="6" style="4" customWidth="1"/>
    <col min="1032" max="1032" width="7.7109375" style="4" customWidth="1"/>
    <col min="1033" max="1033" width="8" style="4" customWidth="1"/>
    <col min="1034" max="1034" width="7.140625" style="4" customWidth="1"/>
    <col min="1035" max="1035" width="6.5703125" style="4" customWidth="1"/>
    <col min="1036" max="1036" width="5.42578125" style="4" customWidth="1"/>
    <col min="1037" max="1037" width="4.140625" style="4" customWidth="1"/>
    <col min="1038" max="1038" width="5.85546875" style="4" customWidth="1"/>
    <col min="1039" max="1039" width="4.7109375" style="4" customWidth="1"/>
    <col min="1040" max="1040" width="7.42578125" style="4" customWidth="1"/>
    <col min="1041" max="1041" width="8.140625" style="4" customWidth="1"/>
    <col min="1042" max="1042" width="8.28515625" style="4" customWidth="1"/>
    <col min="1043" max="1278" width="9.140625" style="4"/>
    <col min="1279" max="1279" width="3.7109375" style="4" customWidth="1"/>
    <col min="1280" max="1280" width="41.140625" style="4" customWidth="1"/>
    <col min="1281" max="1281" width="4.7109375" style="4" customWidth="1"/>
    <col min="1282" max="1282" width="4.85546875" style="4" customWidth="1"/>
    <col min="1283" max="1283" width="7.140625" style="4" customWidth="1"/>
    <col min="1284" max="1284" width="6.7109375" style="4" customWidth="1"/>
    <col min="1285" max="1285" width="6.5703125" style="4" customWidth="1"/>
    <col min="1286" max="1286" width="6.42578125" style="4" customWidth="1"/>
    <col min="1287" max="1287" width="6" style="4" customWidth="1"/>
    <col min="1288" max="1288" width="7.7109375" style="4" customWidth="1"/>
    <col min="1289" max="1289" width="8" style="4" customWidth="1"/>
    <col min="1290" max="1290" width="7.140625" style="4" customWidth="1"/>
    <col min="1291" max="1291" width="6.5703125" style="4" customWidth="1"/>
    <col min="1292" max="1292" width="5.42578125" style="4" customWidth="1"/>
    <col min="1293" max="1293" width="4.140625" style="4" customWidth="1"/>
    <col min="1294" max="1294" width="5.85546875" style="4" customWidth="1"/>
    <col min="1295" max="1295" width="4.7109375" style="4" customWidth="1"/>
    <col min="1296" max="1296" width="7.42578125" style="4" customWidth="1"/>
    <col min="1297" max="1297" width="8.140625" style="4" customWidth="1"/>
    <col min="1298" max="1298" width="8.28515625" style="4" customWidth="1"/>
    <col min="1299" max="1534" width="9.140625" style="4"/>
    <col min="1535" max="1535" width="3.7109375" style="4" customWidth="1"/>
    <col min="1536" max="1536" width="41.140625" style="4" customWidth="1"/>
    <col min="1537" max="1537" width="4.7109375" style="4" customWidth="1"/>
    <col min="1538" max="1538" width="4.85546875" style="4" customWidth="1"/>
    <col min="1539" max="1539" width="7.140625" style="4" customWidth="1"/>
    <col min="1540" max="1540" width="6.7109375" style="4" customWidth="1"/>
    <col min="1541" max="1541" width="6.5703125" style="4" customWidth="1"/>
    <col min="1542" max="1542" width="6.42578125" style="4" customWidth="1"/>
    <col min="1543" max="1543" width="6" style="4" customWidth="1"/>
    <col min="1544" max="1544" width="7.7109375" style="4" customWidth="1"/>
    <col min="1545" max="1545" width="8" style="4" customWidth="1"/>
    <col min="1546" max="1546" width="7.140625" style="4" customWidth="1"/>
    <col min="1547" max="1547" width="6.5703125" style="4" customWidth="1"/>
    <col min="1548" max="1548" width="5.42578125" style="4" customWidth="1"/>
    <col min="1549" max="1549" width="4.140625" style="4" customWidth="1"/>
    <col min="1550" max="1550" width="5.85546875" style="4" customWidth="1"/>
    <col min="1551" max="1551" width="4.7109375" style="4" customWidth="1"/>
    <col min="1552" max="1552" width="7.42578125" style="4" customWidth="1"/>
    <col min="1553" max="1553" width="8.140625" style="4" customWidth="1"/>
    <col min="1554" max="1554" width="8.28515625" style="4" customWidth="1"/>
    <col min="1555" max="1790" width="9.140625" style="4"/>
    <col min="1791" max="1791" width="3.7109375" style="4" customWidth="1"/>
    <col min="1792" max="1792" width="41.140625" style="4" customWidth="1"/>
    <col min="1793" max="1793" width="4.7109375" style="4" customWidth="1"/>
    <col min="1794" max="1794" width="4.85546875" style="4" customWidth="1"/>
    <col min="1795" max="1795" width="7.140625" style="4" customWidth="1"/>
    <col min="1796" max="1796" width="6.7109375" style="4" customWidth="1"/>
    <col min="1797" max="1797" width="6.5703125" style="4" customWidth="1"/>
    <col min="1798" max="1798" width="6.42578125" style="4" customWidth="1"/>
    <col min="1799" max="1799" width="6" style="4" customWidth="1"/>
    <col min="1800" max="1800" width="7.7109375" style="4" customWidth="1"/>
    <col min="1801" max="1801" width="8" style="4" customWidth="1"/>
    <col min="1802" max="1802" width="7.140625" style="4" customWidth="1"/>
    <col min="1803" max="1803" width="6.5703125" style="4" customWidth="1"/>
    <col min="1804" max="1804" width="5.42578125" style="4" customWidth="1"/>
    <col min="1805" max="1805" width="4.140625" style="4" customWidth="1"/>
    <col min="1806" max="1806" width="5.85546875" style="4" customWidth="1"/>
    <col min="1807" max="1807" width="4.7109375" style="4" customWidth="1"/>
    <col min="1808" max="1808" width="7.42578125" style="4" customWidth="1"/>
    <col min="1809" max="1809" width="8.140625" style="4" customWidth="1"/>
    <col min="1810" max="1810" width="8.28515625" style="4" customWidth="1"/>
    <col min="1811" max="2046" width="9.140625" style="4"/>
    <col min="2047" max="2047" width="3.7109375" style="4" customWidth="1"/>
    <col min="2048" max="2048" width="41.140625" style="4" customWidth="1"/>
    <col min="2049" max="2049" width="4.7109375" style="4" customWidth="1"/>
    <col min="2050" max="2050" width="4.85546875" style="4" customWidth="1"/>
    <col min="2051" max="2051" width="7.140625" style="4" customWidth="1"/>
    <col min="2052" max="2052" width="6.7109375" style="4" customWidth="1"/>
    <col min="2053" max="2053" width="6.5703125" style="4" customWidth="1"/>
    <col min="2054" max="2054" width="6.42578125" style="4" customWidth="1"/>
    <col min="2055" max="2055" width="6" style="4" customWidth="1"/>
    <col min="2056" max="2056" width="7.7109375" style="4" customWidth="1"/>
    <col min="2057" max="2057" width="8" style="4" customWidth="1"/>
    <col min="2058" max="2058" width="7.140625" style="4" customWidth="1"/>
    <col min="2059" max="2059" width="6.5703125" style="4" customWidth="1"/>
    <col min="2060" max="2060" width="5.42578125" style="4" customWidth="1"/>
    <col min="2061" max="2061" width="4.140625" style="4" customWidth="1"/>
    <col min="2062" max="2062" width="5.85546875" style="4" customWidth="1"/>
    <col min="2063" max="2063" width="4.7109375" style="4" customWidth="1"/>
    <col min="2064" max="2064" width="7.42578125" style="4" customWidth="1"/>
    <col min="2065" max="2065" width="8.140625" style="4" customWidth="1"/>
    <col min="2066" max="2066" width="8.28515625" style="4" customWidth="1"/>
    <col min="2067" max="2302" width="9.140625" style="4"/>
    <col min="2303" max="2303" width="3.7109375" style="4" customWidth="1"/>
    <col min="2304" max="2304" width="41.140625" style="4" customWidth="1"/>
    <col min="2305" max="2305" width="4.7109375" style="4" customWidth="1"/>
    <col min="2306" max="2306" width="4.85546875" style="4" customWidth="1"/>
    <col min="2307" max="2307" width="7.140625" style="4" customWidth="1"/>
    <col min="2308" max="2308" width="6.7109375" style="4" customWidth="1"/>
    <col min="2309" max="2309" width="6.5703125" style="4" customWidth="1"/>
    <col min="2310" max="2310" width="6.42578125" style="4" customWidth="1"/>
    <col min="2311" max="2311" width="6" style="4" customWidth="1"/>
    <col min="2312" max="2312" width="7.7109375" style="4" customWidth="1"/>
    <col min="2313" max="2313" width="8" style="4" customWidth="1"/>
    <col min="2314" max="2314" width="7.140625" style="4" customWidth="1"/>
    <col min="2315" max="2315" width="6.5703125" style="4" customWidth="1"/>
    <col min="2316" max="2316" width="5.42578125" style="4" customWidth="1"/>
    <col min="2317" max="2317" width="4.140625" style="4" customWidth="1"/>
    <col min="2318" max="2318" width="5.85546875" style="4" customWidth="1"/>
    <col min="2319" max="2319" width="4.7109375" style="4" customWidth="1"/>
    <col min="2320" max="2320" width="7.42578125" style="4" customWidth="1"/>
    <col min="2321" max="2321" width="8.140625" style="4" customWidth="1"/>
    <col min="2322" max="2322" width="8.28515625" style="4" customWidth="1"/>
    <col min="2323" max="2558" width="9.140625" style="4"/>
    <col min="2559" max="2559" width="3.7109375" style="4" customWidth="1"/>
    <col min="2560" max="2560" width="41.140625" style="4" customWidth="1"/>
    <col min="2561" max="2561" width="4.7109375" style="4" customWidth="1"/>
    <col min="2562" max="2562" width="4.85546875" style="4" customWidth="1"/>
    <col min="2563" max="2563" width="7.140625" style="4" customWidth="1"/>
    <col min="2564" max="2564" width="6.7109375" style="4" customWidth="1"/>
    <col min="2565" max="2565" width="6.5703125" style="4" customWidth="1"/>
    <col min="2566" max="2566" width="6.42578125" style="4" customWidth="1"/>
    <col min="2567" max="2567" width="6" style="4" customWidth="1"/>
    <col min="2568" max="2568" width="7.7109375" style="4" customWidth="1"/>
    <col min="2569" max="2569" width="8" style="4" customWidth="1"/>
    <col min="2570" max="2570" width="7.140625" style="4" customWidth="1"/>
    <col min="2571" max="2571" width="6.5703125" style="4" customWidth="1"/>
    <col min="2572" max="2572" width="5.42578125" style="4" customWidth="1"/>
    <col min="2573" max="2573" width="4.140625" style="4" customWidth="1"/>
    <col min="2574" max="2574" width="5.85546875" style="4" customWidth="1"/>
    <col min="2575" max="2575" width="4.7109375" style="4" customWidth="1"/>
    <col min="2576" max="2576" width="7.42578125" style="4" customWidth="1"/>
    <col min="2577" max="2577" width="8.140625" style="4" customWidth="1"/>
    <col min="2578" max="2578" width="8.28515625" style="4" customWidth="1"/>
    <col min="2579" max="2814" width="9.140625" style="4"/>
    <col min="2815" max="2815" width="3.7109375" style="4" customWidth="1"/>
    <col min="2816" max="2816" width="41.140625" style="4" customWidth="1"/>
    <col min="2817" max="2817" width="4.7109375" style="4" customWidth="1"/>
    <col min="2818" max="2818" width="4.85546875" style="4" customWidth="1"/>
    <col min="2819" max="2819" width="7.140625" style="4" customWidth="1"/>
    <col min="2820" max="2820" width="6.7109375" style="4" customWidth="1"/>
    <col min="2821" max="2821" width="6.5703125" style="4" customWidth="1"/>
    <col min="2822" max="2822" width="6.42578125" style="4" customWidth="1"/>
    <col min="2823" max="2823" width="6" style="4" customWidth="1"/>
    <col min="2824" max="2824" width="7.7109375" style="4" customWidth="1"/>
    <col min="2825" max="2825" width="8" style="4" customWidth="1"/>
    <col min="2826" max="2826" width="7.140625" style="4" customWidth="1"/>
    <col min="2827" max="2827" width="6.5703125" style="4" customWidth="1"/>
    <col min="2828" max="2828" width="5.42578125" style="4" customWidth="1"/>
    <col min="2829" max="2829" width="4.140625" style="4" customWidth="1"/>
    <col min="2830" max="2830" width="5.85546875" style="4" customWidth="1"/>
    <col min="2831" max="2831" width="4.7109375" style="4" customWidth="1"/>
    <col min="2832" max="2832" width="7.42578125" style="4" customWidth="1"/>
    <col min="2833" max="2833" width="8.140625" style="4" customWidth="1"/>
    <col min="2834" max="2834" width="8.28515625" style="4" customWidth="1"/>
    <col min="2835" max="3070" width="9.140625" style="4"/>
    <col min="3071" max="3071" width="3.7109375" style="4" customWidth="1"/>
    <col min="3072" max="3072" width="41.140625" style="4" customWidth="1"/>
    <col min="3073" max="3073" width="4.7109375" style="4" customWidth="1"/>
    <col min="3074" max="3074" width="4.85546875" style="4" customWidth="1"/>
    <col min="3075" max="3075" width="7.140625" style="4" customWidth="1"/>
    <col min="3076" max="3076" width="6.7109375" style="4" customWidth="1"/>
    <col min="3077" max="3077" width="6.5703125" style="4" customWidth="1"/>
    <col min="3078" max="3078" width="6.42578125" style="4" customWidth="1"/>
    <col min="3079" max="3079" width="6" style="4" customWidth="1"/>
    <col min="3080" max="3080" width="7.7109375" style="4" customWidth="1"/>
    <col min="3081" max="3081" width="8" style="4" customWidth="1"/>
    <col min="3082" max="3082" width="7.140625" style="4" customWidth="1"/>
    <col min="3083" max="3083" width="6.5703125" style="4" customWidth="1"/>
    <col min="3084" max="3084" width="5.42578125" style="4" customWidth="1"/>
    <col min="3085" max="3085" width="4.140625" style="4" customWidth="1"/>
    <col min="3086" max="3086" width="5.85546875" style="4" customWidth="1"/>
    <col min="3087" max="3087" width="4.7109375" style="4" customWidth="1"/>
    <col min="3088" max="3088" width="7.42578125" style="4" customWidth="1"/>
    <col min="3089" max="3089" width="8.140625" style="4" customWidth="1"/>
    <col min="3090" max="3090" width="8.28515625" style="4" customWidth="1"/>
    <col min="3091" max="3326" width="9.140625" style="4"/>
    <col min="3327" max="3327" width="3.7109375" style="4" customWidth="1"/>
    <col min="3328" max="3328" width="41.140625" style="4" customWidth="1"/>
    <col min="3329" max="3329" width="4.7109375" style="4" customWidth="1"/>
    <col min="3330" max="3330" width="4.85546875" style="4" customWidth="1"/>
    <col min="3331" max="3331" width="7.140625" style="4" customWidth="1"/>
    <col min="3332" max="3332" width="6.7109375" style="4" customWidth="1"/>
    <col min="3333" max="3333" width="6.5703125" style="4" customWidth="1"/>
    <col min="3334" max="3334" width="6.42578125" style="4" customWidth="1"/>
    <col min="3335" max="3335" width="6" style="4" customWidth="1"/>
    <col min="3336" max="3336" width="7.7109375" style="4" customWidth="1"/>
    <col min="3337" max="3337" width="8" style="4" customWidth="1"/>
    <col min="3338" max="3338" width="7.140625" style="4" customWidth="1"/>
    <col min="3339" max="3339" width="6.5703125" style="4" customWidth="1"/>
    <col min="3340" max="3340" width="5.42578125" style="4" customWidth="1"/>
    <col min="3341" max="3341" width="4.140625" style="4" customWidth="1"/>
    <col min="3342" max="3342" width="5.85546875" style="4" customWidth="1"/>
    <col min="3343" max="3343" width="4.7109375" style="4" customWidth="1"/>
    <col min="3344" max="3344" width="7.42578125" style="4" customWidth="1"/>
    <col min="3345" max="3345" width="8.140625" style="4" customWidth="1"/>
    <col min="3346" max="3346" width="8.28515625" style="4" customWidth="1"/>
    <col min="3347" max="3582" width="9.140625" style="4"/>
    <col min="3583" max="3583" width="3.7109375" style="4" customWidth="1"/>
    <col min="3584" max="3584" width="41.140625" style="4" customWidth="1"/>
    <col min="3585" max="3585" width="4.7109375" style="4" customWidth="1"/>
    <col min="3586" max="3586" width="4.85546875" style="4" customWidth="1"/>
    <col min="3587" max="3587" width="7.140625" style="4" customWidth="1"/>
    <col min="3588" max="3588" width="6.7109375" style="4" customWidth="1"/>
    <col min="3589" max="3589" width="6.5703125" style="4" customWidth="1"/>
    <col min="3590" max="3590" width="6.42578125" style="4" customWidth="1"/>
    <col min="3591" max="3591" width="6" style="4" customWidth="1"/>
    <col min="3592" max="3592" width="7.7109375" style="4" customWidth="1"/>
    <col min="3593" max="3593" width="8" style="4" customWidth="1"/>
    <col min="3594" max="3594" width="7.140625" style="4" customWidth="1"/>
    <col min="3595" max="3595" width="6.5703125" style="4" customWidth="1"/>
    <col min="3596" max="3596" width="5.42578125" style="4" customWidth="1"/>
    <col min="3597" max="3597" width="4.140625" style="4" customWidth="1"/>
    <col min="3598" max="3598" width="5.85546875" style="4" customWidth="1"/>
    <col min="3599" max="3599" width="4.7109375" style="4" customWidth="1"/>
    <col min="3600" max="3600" width="7.42578125" style="4" customWidth="1"/>
    <col min="3601" max="3601" width="8.140625" style="4" customWidth="1"/>
    <col min="3602" max="3602" width="8.28515625" style="4" customWidth="1"/>
    <col min="3603" max="3838" width="9.140625" style="4"/>
    <col min="3839" max="3839" width="3.7109375" style="4" customWidth="1"/>
    <col min="3840" max="3840" width="41.140625" style="4" customWidth="1"/>
    <col min="3841" max="3841" width="4.7109375" style="4" customWidth="1"/>
    <col min="3842" max="3842" width="4.85546875" style="4" customWidth="1"/>
    <col min="3843" max="3843" width="7.140625" style="4" customWidth="1"/>
    <col min="3844" max="3844" width="6.7109375" style="4" customWidth="1"/>
    <col min="3845" max="3845" width="6.5703125" style="4" customWidth="1"/>
    <col min="3846" max="3846" width="6.42578125" style="4" customWidth="1"/>
    <col min="3847" max="3847" width="6" style="4" customWidth="1"/>
    <col min="3848" max="3848" width="7.7109375" style="4" customWidth="1"/>
    <col min="3849" max="3849" width="8" style="4" customWidth="1"/>
    <col min="3850" max="3850" width="7.140625" style="4" customWidth="1"/>
    <col min="3851" max="3851" width="6.5703125" style="4" customWidth="1"/>
    <col min="3852" max="3852" width="5.42578125" style="4" customWidth="1"/>
    <col min="3853" max="3853" width="4.140625" style="4" customWidth="1"/>
    <col min="3854" max="3854" width="5.85546875" style="4" customWidth="1"/>
    <col min="3855" max="3855" width="4.7109375" style="4" customWidth="1"/>
    <col min="3856" max="3856" width="7.42578125" style="4" customWidth="1"/>
    <col min="3857" max="3857" width="8.140625" style="4" customWidth="1"/>
    <col min="3858" max="3858" width="8.28515625" style="4" customWidth="1"/>
    <col min="3859" max="4094" width="9.140625" style="4"/>
    <col min="4095" max="4095" width="3.7109375" style="4" customWidth="1"/>
    <col min="4096" max="4096" width="41.140625" style="4" customWidth="1"/>
    <col min="4097" max="4097" width="4.7109375" style="4" customWidth="1"/>
    <col min="4098" max="4098" width="4.85546875" style="4" customWidth="1"/>
    <col min="4099" max="4099" width="7.140625" style="4" customWidth="1"/>
    <col min="4100" max="4100" width="6.7109375" style="4" customWidth="1"/>
    <col min="4101" max="4101" width="6.5703125" style="4" customWidth="1"/>
    <col min="4102" max="4102" width="6.42578125" style="4" customWidth="1"/>
    <col min="4103" max="4103" width="6" style="4" customWidth="1"/>
    <col min="4104" max="4104" width="7.7109375" style="4" customWidth="1"/>
    <col min="4105" max="4105" width="8" style="4" customWidth="1"/>
    <col min="4106" max="4106" width="7.140625" style="4" customWidth="1"/>
    <col min="4107" max="4107" width="6.5703125" style="4" customWidth="1"/>
    <col min="4108" max="4108" width="5.42578125" style="4" customWidth="1"/>
    <col min="4109" max="4109" width="4.140625" style="4" customWidth="1"/>
    <col min="4110" max="4110" width="5.85546875" style="4" customWidth="1"/>
    <col min="4111" max="4111" width="4.7109375" style="4" customWidth="1"/>
    <col min="4112" max="4112" width="7.42578125" style="4" customWidth="1"/>
    <col min="4113" max="4113" width="8.140625" style="4" customWidth="1"/>
    <col min="4114" max="4114" width="8.28515625" style="4" customWidth="1"/>
    <col min="4115" max="4350" width="9.140625" style="4"/>
    <col min="4351" max="4351" width="3.7109375" style="4" customWidth="1"/>
    <col min="4352" max="4352" width="41.140625" style="4" customWidth="1"/>
    <col min="4353" max="4353" width="4.7109375" style="4" customWidth="1"/>
    <col min="4354" max="4354" width="4.85546875" style="4" customWidth="1"/>
    <col min="4355" max="4355" width="7.140625" style="4" customWidth="1"/>
    <col min="4356" max="4356" width="6.7109375" style="4" customWidth="1"/>
    <col min="4357" max="4357" width="6.5703125" style="4" customWidth="1"/>
    <col min="4358" max="4358" width="6.42578125" style="4" customWidth="1"/>
    <col min="4359" max="4359" width="6" style="4" customWidth="1"/>
    <col min="4360" max="4360" width="7.7109375" style="4" customWidth="1"/>
    <col min="4361" max="4361" width="8" style="4" customWidth="1"/>
    <col min="4362" max="4362" width="7.140625" style="4" customWidth="1"/>
    <col min="4363" max="4363" width="6.5703125" style="4" customWidth="1"/>
    <col min="4364" max="4364" width="5.42578125" style="4" customWidth="1"/>
    <col min="4365" max="4365" width="4.140625" style="4" customWidth="1"/>
    <col min="4366" max="4366" width="5.85546875" style="4" customWidth="1"/>
    <col min="4367" max="4367" width="4.7109375" style="4" customWidth="1"/>
    <col min="4368" max="4368" width="7.42578125" style="4" customWidth="1"/>
    <col min="4369" max="4369" width="8.140625" style="4" customWidth="1"/>
    <col min="4370" max="4370" width="8.28515625" style="4" customWidth="1"/>
    <col min="4371" max="4606" width="9.140625" style="4"/>
    <col min="4607" max="4607" width="3.7109375" style="4" customWidth="1"/>
    <col min="4608" max="4608" width="41.140625" style="4" customWidth="1"/>
    <col min="4609" max="4609" width="4.7109375" style="4" customWidth="1"/>
    <col min="4610" max="4610" width="4.85546875" style="4" customWidth="1"/>
    <col min="4611" max="4611" width="7.140625" style="4" customWidth="1"/>
    <col min="4612" max="4612" width="6.7109375" style="4" customWidth="1"/>
    <col min="4613" max="4613" width="6.5703125" style="4" customWidth="1"/>
    <col min="4614" max="4614" width="6.42578125" style="4" customWidth="1"/>
    <col min="4615" max="4615" width="6" style="4" customWidth="1"/>
    <col min="4616" max="4616" width="7.7109375" style="4" customWidth="1"/>
    <col min="4617" max="4617" width="8" style="4" customWidth="1"/>
    <col min="4618" max="4618" width="7.140625" style="4" customWidth="1"/>
    <col min="4619" max="4619" width="6.5703125" style="4" customWidth="1"/>
    <col min="4620" max="4620" width="5.42578125" style="4" customWidth="1"/>
    <col min="4621" max="4621" width="4.140625" style="4" customWidth="1"/>
    <col min="4622" max="4622" width="5.85546875" style="4" customWidth="1"/>
    <col min="4623" max="4623" width="4.7109375" style="4" customWidth="1"/>
    <col min="4624" max="4624" width="7.42578125" style="4" customWidth="1"/>
    <col min="4625" max="4625" width="8.140625" style="4" customWidth="1"/>
    <col min="4626" max="4626" width="8.28515625" style="4" customWidth="1"/>
    <col min="4627" max="4862" width="9.140625" style="4"/>
    <col min="4863" max="4863" width="3.7109375" style="4" customWidth="1"/>
    <col min="4864" max="4864" width="41.140625" style="4" customWidth="1"/>
    <col min="4865" max="4865" width="4.7109375" style="4" customWidth="1"/>
    <col min="4866" max="4866" width="4.85546875" style="4" customWidth="1"/>
    <col min="4867" max="4867" width="7.140625" style="4" customWidth="1"/>
    <col min="4868" max="4868" width="6.7109375" style="4" customWidth="1"/>
    <col min="4869" max="4869" width="6.5703125" style="4" customWidth="1"/>
    <col min="4870" max="4870" width="6.42578125" style="4" customWidth="1"/>
    <col min="4871" max="4871" width="6" style="4" customWidth="1"/>
    <col min="4872" max="4872" width="7.7109375" style="4" customWidth="1"/>
    <col min="4873" max="4873" width="8" style="4" customWidth="1"/>
    <col min="4874" max="4874" width="7.140625" style="4" customWidth="1"/>
    <col min="4875" max="4875" width="6.5703125" style="4" customWidth="1"/>
    <col min="4876" max="4876" width="5.42578125" style="4" customWidth="1"/>
    <col min="4877" max="4877" width="4.140625" style="4" customWidth="1"/>
    <col min="4878" max="4878" width="5.85546875" style="4" customWidth="1"/>
    <col min="4879" max="4879" width="4.7109375" style="4" customWidth="1"/>
    <col min="4880" max="4880" width="7.42578125" style="4" customWidth="1"/>
    <col min="4881" max="4881" width="8.140625" style="4" customWidth="1"/>
    <col min="4882" max="4882" width="8.28515625" style="4" customWidth="1"/>
    <col min="4883" max="5118" width="9.140625" style="4"/>
    <col min="5119" max="5119" width="3.7109375" style="4" customWidth="1"/>
    <col min="5120" max="5120" width="41.140625" style="4" customWidth="1"/>
    <col min="5121" max="5121" width="4.7109375" style="4" customWidth="1"/>
    <col min="5122" max="5122" width="4.85546875" style="4" customWidth="1"/>
    <col min="5123" max="5123" width="7.140625" style="4" customWidth="1"/>
    <col min="5124" max="5124" width="6.7109375" style="4" customWidth="1"/>
    <col min="5125" max="5125" width="6.5703125" style="4" customWidth="1"/>
    <col min="5126" max="5126" width="6.42578125" style="4" customWidth="1"/>
    <col min="5127" max="5127" width="6" style="4" customWidth="1"/>
    <col min="5128" max="5128" width="7.7109375" style="4" customWidth="1"/>
    <col min="5129" max="5129" width="8" style="4" customWidth="1"/>
    <col min="5130" max="5130" width="7.140625" style="4" customWidth="1"/>
    <col min="5131" max="5131" width="6.5703125" style="4" customWidth="1"/>
    <col min="5132" max="5132" width="5.42578125" style="4" customWidth="1"/>
    <col min="5133" max="5133" width="4.140625" style="4" customWidth="1"/>
    <col min="5134" max="5134" width="5.85546875" style="4" customWidth="1"/>
    <col min="5135" max="5135" width="4.7109375" style="4" customWidth="1"/>
    <col min="5136" max="5136" width="7.42578125" style="4" customWidth="1"/>
    <col min="5137" max="5137" width="8.140625" style="4" customWidth="1"/>
    <col min="5138" max="5138" width="8.28515625" style="4" customWidth="1"/>
    <col min="5139" max="5374" width="9.140625" style="4"/>
    <col min="5375" max="5375" width="3.7109375" style="4" customWidth="1"/>
    <col min="5376" max="5376" width="41.140625" style="4" customWidth="1"/>
    <col min="5377" max="5377" width="4.7109375" style="4" customWidth="1"/>
    <col min="5378" max="5378" width="4.85546875" style="4" customWidth="1"/>
    <col min="5379" max="5379" width="7.140625" style="4" customWidth="1"/>
    <col min="5380" max="5380" width="6.7109375" style="4" customWidth="1"/>
    <col min="5381" max="5381" width="6.5703125" style="4" customWidth="1"/>
    <col min="5382" max="5382" width="6.42578125" style="4" customWidth="1"/>
    <col min="5383" max="5383" width="6" style="4" customWidth="1"/>
    <col min="5384" max="5384" width="7.7109375" style="4" customWidth="1"/>
    <col min="5385" max="5385" width="8" style="4" customWidth="1"/>
    <col min="5386" max="5386" width="7.140625" style="4" customWidth="1"/>
    <col min="5387" max="5387" width="6.5703125" style="4" customWidth="1"/>
    <col min="5388" max="5388" width="5.42578125" style="4" customWidth="1"/>
    <col min="5389" max="5389" width="4.140625" style="4" customWidth="1"/>
    <col min="5390" max="5390" width="5.85546875" style="4" customWidth="1"/>
    <col min="5391" max="5391" width="4.7109375" style="4" customWidth="1"/>
    <col min="5392" max="5392" width="7.42578125" style="4" customWidth="1"/>
    <col min="5393" max="5393" width="8.140625" style="4" customWidth="1"/>
    <col min="5394" max="5394" width="8.28515625" style="4" customWidth="1"/>
    <col min="5395" max="5630" width="9.140625" style="4"/>
    <col min="5631" max="5631" width="3.7109375" style="4" customWidth="1"/>
    <col min="5632" max="5632" width="41.140625" style="4" customWidth="1"/>
    <col min="5633" max="5633" width="4.7109375" style="4" customWidth="1"/>
    <col min="5634" max="5634" width="4.85546875" style="4" customWidth="1"/>
    <col min="5635" max="5635" width="7.140625" style="4" customWidth="1"/>
    <col min="5636" max="5636" width="6.7109375" style="4" customWidth="1"/>
    <col min="5637" max="5637" width="6.5703125" style="4" customWidth="1"/>
    <col min="5638" max="5638" width="6.42578125" style="4" customWidth="1"/>
    <col min="5639" max="5639" width="6" style="4" customWidth="1"/>
    <col min="5640" max="5640" width="7.7109375" style="4" customWidth="1"/>
    <col min="5641" max="5641" width="8" style="4" customWidth="1"/>
    <col min="5642" max="5642" width="7.140625" style="4" customWidth="1"/>
    <col min="5643" max="5643" width="6.5703125" style="4" customWidth="1"/>
    <col min="5644" max="5644" width="5.42578125" style="4" customWidth="1"/>
    <col min="5645" max="5645" width="4.140625" style="4" customWidth="1"/>
    <col min="5646" max="5646" width="5.85546875" style="4" customWidth="1"/>
    <col min="5647" max="5647" width="4.7109375" style="4" customWidth="1"/>
    <col min="5648" max="5648" width="7.42578125" style="4" customWidth="1"/>
    <col min="5649" max="5649" width="8.140625" style="4" customWidth="1"/>
    <col min="5650" max="5650" width="8.28515625" style="4" customWidth="1"/>
    <col min="5651" max="5886" width="9.140625" style="4"/>
    <col min="5887" max="5887" width="3.7109375" style="4" customWidth="1"/>
    <col min="5888" max="5888" width="41.140625" style="4" customWidth="1"/>
    <col min="5889" max="5889" width="4.7109375" style="4" customWidth="1"/>
    <col min="5890" max="5890" width="4.85546875" style="4" customWidth="1"/>
    <col min="5891" max="5891" width="7.140625" style="4" customWidth="1"/>
    <col min="5892" max="5892" width="6.7109375" style="4" customWidth="1"/>
    <col min="5893" max="5893" width="6.5703125" style="4" customWidth="1"/>
    <col min="5894" max="5894" width="6.42578125" style="4" customWidth="1"/>
    <col min="5895" max="5895" width="6" style="4" customWidth="1"/>
    <col min="5896" max="5896" width="7.7109375" style="4" customWidth="1"/>
    <col min="5897" max="5897" width="8" style="4" customWidth="1"/>
    <col min="5898" max="5898" width="7.140625" style="4" customWidth="1"/>
    <col min="5899" max="5899" width="6.5703125" style="4" customWidth="1"/>
    <col min="5900" max="5900" width="5.42578125" style="4" customWidth="1"/>
    <col min="5901" max="5901" width="4.140625" style="4" customWidth="1"/>
    <col min="5902" max="5902" width="5.85546875" style="4" customWidth="1"/>
    <col min="5903" max="5903" width="4.7109375" style="4" customWidth="1"/>
    <col min="5904" max="5904" width="7.42578125" style="4" customWidth="1"/>
    <col min="5905" max="5905" width="8.140625" style="4" customWidth="1"/>
    <col min="5906" max="5906" width="8.28515625" style="4" customWidth="1"/>
    <col min="5907" max="6142" width="9.140625" style="4"/>
    <col min="6143" max="6143" width="3.7109375" style="4" customWidth="1"/>
    <col min="6144" max="6144" width="41.140625" style="4" customWidth="1"/>
    <col min="6145" max="6145" width="4.7109375" style="4" customWidth="1"/>
    <col min="6146" max="6146" width="4.85546875" style="4" customWidth="1"/>
    <col min="6147" max="6147" width="7.140625" style="4" customWidth="1"/>
    <col min="6148" max="6148" width="6.7109375" style="4" customWidth="1"/>
    <col min="6149" max="6149" width="6.5703125" style="4" customWidth="1"/>
    <col min="6150" max="6150" width="6.42578125" style="4" customWidth="1"/>
    <col min="6151" max="6151" width="6" style="4" customWidth="1"/>
    <col min="6152" max="6152" width="7.7109375" style="4" customWidth="1"/>
    <col min="6153" max="6153" width="8" style="4" customWidth="1"/>
    <col min="6154" max="6154" width="7.140625" style="4" customWidth="1"/>
    <col min="6155" max="6155" width="6.5703125" style="4" customWidth="1"/>
    <col min="6156" max="6156" width="5.42578125" style="4" customWidth="1"/>
    <col min="6157" max="6157" width="4.140625" style="4" customWidth="1"/>
    <col min="6158" max="6158" width="5.85546875" style="4" customWidth="1"/>
    <col min="6159" max="6159" width="4.7109375" style="4" customWidth="1"/>
    <col min="6160" max="6160" width="7.42578125" style="4" customWidth="1"/>
    <col min="6161" max="6161" width="8.140625" style="4" customWidth="1"/>
    <col min="6162" max="6162" width="8.28515625" style="4" customWidth="1"/>
    <col min="6163" max="6398" width="9.140625" style="4"/>
    <col min="6399" max="6399" width="3.7109375" style="4" customWidth="1"/>
    <col min="6400" max="6400" width="41.140625" style="4" customWidth="1"/>
    <col min="6401" max="6401" width="4.7109375" style="4" customWidth="1"/>
    <col min="6402" max="6402" width="4.85546875" style="4" customWidth="1"/>
    <col min="6403" max="6403" width="7.140625" style="4" customWidth="1"/>
    <col min="6404" max="6404" width="6.7109375" style="4" customWidth="1"/>
    <col min="6405" max="6405" width="6.5703125" style="4" customWidth="1"/>
    <col min="6406" max="6406" width="6.42578125" style="4" customWidth="1"/>
    <col min="6407" max="6407" width="6" style="4" customWidth="1"/>
    <col min="6408" max="6408" width="7.7109375" style="4" customWidth="1"/>
    <col min="6409" max="6409" width="8" style="4" customWidth="1"/>
    <col min="6410" max="6410" width="7.140625" style="4" customWidth="1"/>
    <col min="6411" max="6411" width="6.5703125" style="4" customWidth="1"/>
    <col min="6412" max="6412" width="5.42578125" style="4" customWidth="1"/>
    <col min="6413" max="6413" width="4.140625" style="4" customWidth="1"/>
    <col min="6414" max="6414" width="5.85546875" style="4" customWidth="1"/>
    <col min="6415" max="6415" width="4.7109375" style="4" customWidth="1"/>
    <col min="6416" max="6416" width="7.42578125" style="4" customWidth="1"/>
    <col min="6417" max="6417" width="8.140625" style="4" customWidth="1"/>
    <col min="6418" max="6418" width="8.28515625" style="4" customWidth="1"/>
    <col min="6419" max="6654" width="9.140625" style="4"/>
    <col min="6655" max="6655" width="3.7109375" style="4" customWidth="1"/>
    <col min="6656" max="6656" width="41.140625" style="4" customWidth="1"/>
    <col min="6657" max="6657" width="4.7109375" style="4" customWidth="1"/>
    <col min="6658" max="6658" width="4.85546875" style="4" customWidth="1"/>
    <col min="6659" max="6659" width="7.140625" style="4" customWidth="1"/>
    <col min="6660" max="6660" width="6.7109375" style="4" customWidth="1"/>
    <col min="6661" max="6661" width="6.5703125" style="4" customWidth="1"/>
    <col min="6662" max="6662" width="6.42578125" style="4" customWidth="1"/>
    <col min="6663" max="6663" width="6" style="4" customWidth="1"/>
    <col min="6664" max="6664" width="7.7109375" style="4" customWidth="1"/>
    <col min="6665" max="6665" width="8" style="4" customWidth="1"/>
    <col min="6666" max="6666" width="7.140625" style="4" customWidth="1"/>
    <col min="6667" max="6667" width="6.5703125" style="4" customWidth="1"/>
    <col min="6668" max="6668" width="5.42578125" style="4" customWidth="1"/>
    <col min="6669" max="6669" width="4.140625" style="4" customWidth="1"/>
    <col min="6670" max="6670" width="5.85546875" style="4" customWidth="1"/>
    <col min="6671" max="6671" width="4.7109375" style="4" customWidth="1"/>
    <col min="6672" max="6672" width="7.42578125" style="4" customWidth="1"/>
    <col min="6673" max="6673" width="8.140625" style="4" customWidth="1"/>
    <col min="6674" max="6674" width="8.28515625" style="4" customWidth="1"/>
    <col min="6675" max="6910" width="9.140625" style="4"/>
    <col min="6911" max="6911" width="3.7109375" style="4" customWidth="1"/>
    <col min="6912" max="6912" width="41.140625" style="4" customWidth="1"/>
    <col min="6913" max="6913" width="4.7109375" style="4" customWidth="1"/>
    <col min="6914" max="6914" width="4.85546875" style="4" customWidth="1"/>
    <col min="6915" max="6915" width="7.140625" style="4" customWidth="1"/>
    <col min="6916" max="6916" width="6.7109375" style="4" customWidth="1"/>
    <col min="6917" max="6917" width="6.5703125" style="4" customWidth="1"/>
    <col min="6918" max="6918" width="6.42578125" style="4" customWidth="1"/>
    <col min="6919" max="6919" width="6" style="4" customWidth="1"/>
    <col min="6920" max="6920" width="7.7109375" style="4" customWidth="1"/>
    <col min="6921" max="6921" width="8" style="4" customWidth="1"/>
    <col min="6922" max="6922" width="7.140625" style="4" customWidth="1"/>
    <col min="6923" max="6923" width="6.5703125" style="4" customWidth="1"/>
    <col min="6924" max="6924" width="5.42578125" style="4" customWidth="1"/>
    <col min="6925" max="6925" width="4.140625" style="4" customWidth="1"/>
    <col min="6926" max="6926" width="5.85546875" style="4" customWidth="1"/>
    <col min="6927" max="6927" width="4.7109375" style="4" customWidth="1"/>
    <col min="6928" max="6928" width="7.42578125" style="4" customWidth="1"/>
    <col min="6929" max="6929" width="8.140625" style="4" customWidth="1"/>
    <col min="6930" max="6930" width="8.28515625" style="4" customWidth="1"/>
    <col min="6931" max="7166" width="9.140625" style="4"/>
    <col min="7167" max="7167" width="3.7109375" style="4" customWidth="1"/>
    <col min="7168" max="7168" width="41.140625" style="4" customWidth="1"/>
    <col min="7169" max="7169" width="4.7109375" style="4" customWidth="1"/>
    <col min="7170" max="7170" width="4.85546875" style="4" customWidth="1"/>
    <col min="7171" max="7171" width="7.140625" style="4" customWidth="1"/>
    <col min="7172" max="7172" width="6.7109375" style="4" customWidth="1"/>
    <col min="7173" max="7173" width="6.5703125" style="4" customWidth="1"/>
    <col min="7174" max="7174" width="6.42578125" style="4" customWidth="1"/>
    <col min="7175" max="7175" width="6" style="4" customWidth="1"/>
    <col min="7176" max="7176" width="7.7109375" style="4" customWidth="1"/>
    <col min="7177" max="7177" width="8" style="4" customWidth="1"/>
    <col min="7178" max="7178" width="7.140625" style="4" customWidth="1"/>
    <col min="7179" max="7179" width="6.5703125" style="4" customWidth="1"/>
    <col min="7180" max="7180" width="5.42578125" style="4" customWidth="1"/>
    <col min="7181" max="7181" width="4.140625" style="4" customWidth="1"/>
    <col min="7182" max="7182" width="5.85546875" style="4" customWidth="1"/>
    <col min="7183" max="7183" width="4.7109375" style="4" customWidth="1"/>
    <col min="7184" max="7184" width="7.42578125" style="4" customWidth="1"/>
    <col min="7185" max="7185" width="8.140625" style="4" customWidth="1"/>
    <col min="7186" max="7186" width="8.28515625" style="4" customWidth="1"/>
    <col min="7187" max="7422" width="9.140625" style="4"/>
    <col min="7423" max="7423" width="3.7109375" style="4" customWidth="1"/>
    <col min="7424" max="7424" width="41.140625" style="4" customWidth="1"/>
    <col min="7425" max="7425" width="4.7109375" style="4" customWidth="1"/>
    <col min="7426" max="7426" width="4.85546875" style="4" customWidth="1"/>
    <col min="7427" max="7427" width="7.140625" style="4" customWidth="1"/>
    <col min="7428" max="7428" width="6.7109375" style="4" customWidth="1"/>
    <col min="7429" max="7429" width="6.5703125" style="4" customWidth="1"/>
    <col min="7430" max="7430" width="6.42578125" style="4" customWidth="1"/>
    <col min="7431" max="7431" width="6" style="4" customWidth="1"/>
    <col min="7432" max="7432" width="7.7109375" style="4" customWidth="1"/>
    <col min="7433" max="7433" width="8" style="4" customWidth="1"/>
    <col min="7434" max="7434" width="7.140625" style="4" customWidth="1"/>
    <col min="7435" max="7435" width="6.5703125" style="4" customWidth="1"/>
    <col min="7436" max="7436" width="5.42578125" style="4" customWidth="1"/>
    <col min="7437" max="7437" width="4.140625" style="4" customWidth="1"/>
    <col min="7438" max="7438" width="5.85546875" style="4" customWidth="1"/>
    <col min="7439" max="7439" width="4.7109375" style="4" customWidth="1"/>
    <col min="7440" max="7440" width="7.42578125" style="4" customWidth="1"/>
    <col min="7441" max="7441" width="8.140625" style="4" customWidth="1"/>
    <col min="7442" max="7442" width="8.28515625" style="4" customWidth="1"/>
    <col min="7443" max="7678" width="9.140625" style="4"/>
    <col min="7679" max="7679" width="3.7109375" style="4" customWidth="1"/>
    <col min="7680" max="7680" width="41.140625" style="4" customWidth="1"/>
    <col min="7681" max="7681" width="4.7109375" style="4" customWidth="1"/>
    <col min="7682" max="7682" width="4.85546875" style="4" customWidth="1"/>
    <col min="7683" max="7683" width="7.140625" style="4" customWidth="1"/>
    <col min="7684" max="7684" width="6.7109375" style="4" customWidth="1"/>
    <col min="7685" max="7685" width="6.5703125" style="4" customWidth="1"/>
    <col min="7686" max="7686" width="6.42578125" style="4" customWidth="1"/>
    <col min="7687" max="7687" width="6" style="4" customWidth="1"/>
    <col min="7688" max="7688" width="7.7109375" style="4" customWidth="1"/>
    <col min="7689" max="7689" width="8" style="4" customWidth="1"/>
    <col min="7690" max="7690" width="7.140625" style="4" customWidth="1"/>
    <col min="7691" max="7691" width="6.5703125" style="4" customWidth="1"/>
    <col min="7692" max="7692" width="5.42578125" style="4" customWidth="1"/>
    <col min="7693" max="7693" width="4.140625" style="4" customWidth="1"/>
    <col min="7694" max="7694" width="5.85546875" style="4" customWidth="1"/>
    <col min="7695" max="7695" width="4.7109375" style="4" customWidth="1"/>
    <col min="7696" max="7696" width="7.42578125" style="4" customWidth="1"/>
    <col min="7697" max="7697" width="8.140625" style="4" customWidth="1"/>
    <col min="7698" max="7698" width="8.28515625" style="4" customWidth="1"/>
    <col min="7699" max="7934" width="9.140625" style="4"/>
    <col min="7935" max="7935" width="3.7109375" style="4" customWidth="1"/>
    <col min="7936" max="7936" width="41.140625" style="4" customWidth="1"/>
    <col min="7937" max="7937" width="4.7109375" style="4" customWidth="1"/>
    <col min="7938" max="7938" width="4.85546875" style="4" customWidth="1"/>
    <col min="7939" max="7939" width="7.140625" style="4" customWidth="1"/>
    <col min="7940" max="7940" width="6.7109375" style="4" customWidth="1"/>
    <col min="7941" max="7941" width="6.5703125" style="4" customWidth="1"/>
    <col min="7942" max="7942" width="6.42578125" style="4" customWidth="1"/>
    <col min="7943" max="7943" width="6" style="4" customWidth="1"/>
    <col min="7944" max="7944" width="7.7109375" style="4" customWidth="1"/>
    <col min="7945" max="7945" width="8" style="4" customWidth="1"/>
    <col min="7946" max="7946" width="7.140625" style="4" customWidth="1"/>
    <col min="7947" max="7947" width="6.5703125" style="4" customWidth="1"/>
    <col min="7948" max="7948" width="5.42578125" style="4" customWidth="1"/>
    <col min="7949" max="7949" width="4.140625" style="4" customWidth="1"/>
    <col min="7950" max="7950" width="5.85546875" style="4" customWidth="1"/>
    <col min="7951" max="7951" width="4.7109375" style="4" customWidth="1"/>
    <col min="7952" max="7952" width="7.42578125" style="4" customWidth="1"/>
    <col min="7953" max="7953" width="8.140625" style="4" customWidth="1"/>
    <col min="7954" max="7954" width="8.28515625" style="4" customWidth="1"/>
    <col min="7955" max="8190" width="9.140625" style="4"/>
    <col min="8191" max="8191" width="3.7109375" style="4" customWidth="1"/>
    <col min="8192" max="8192" width="41.140625" style="4" customWidth="1"/>
    <col min="8193" max="8193" width="4.7109375" style="4" customWidth="1"/>
    <col min="8194" max="8194" width="4.85546875" style="4" customWidth="1"/>
    <col min="8195" max="8195" width="7.140625" style="4" customWidth="1"/>
    <col min="8196" max="8196" width="6.7109375" style="4" customWidth="1"/>
    <col min="8197" max="8197" width="6.5703125" style="4" customWidth="1"/>
    <col min="8198" max="8198" width="6.42578125" style="4" customWidth="1"/>
    <col min="8199" max="8199" width="6" style="4" customWidth="1"/>
    <col min="8200" max="8200" width="7.7109375" style="4" customWidth="1"/>
    <col min="8201" max="8201" width="8" style="4" customWidth="1"/>
    <col min="8202" max="8202" width="7.140625" style="4" customWidth="1"/>
    <col min="8203" max="8203" width="6.5703125" style="4" customWidth="1"/>
    <col min="8204" max="8204" width="5.42578125" style="4" customWidth="1"/>
    <col min="8205" max="8205" width="4.140625" style="4" customWidth="1"/>
    <col min="8206" max="8206" width="5.85546875" style="4" customWidth="1"/>
    <col min="8207" max="8207" width="4.7109375" style="4" customWidth="1"/>
    <col min="8208" max="8208" width="7.42578125" style="4" customWidth="1"/>
    <col min="8209" max="8209" width="8.140625" style="4" customWidth="1"/>
    <col min="8210" max="8210" width="8.28515625" style="4" customWidth="1"/>
    <col min="8211" max="8446" width="9.140625" style="4"/>
    <col min="8447" max="8447" width="3.7109375" style="4" customWidth="1"/>
    <col min="8448" max="8448" width="41.140625" style="4" customWidth="1"/>
    <col min="8449" max="8449" width="4.7109375" style="4" customWidth="1"/>
    <col min="8450" max="8450" width="4.85546875" style="4" customWidth="1"/>
    <col min="8451" max="8451" width="7.140625" style="4" customWidth="1"/>
    <col min="8452" max="8452" width="6.7109375" style="4" customWidth="1"/>
    <col min="8453" max="8453" width="6.5703125" style="4" customWidth="1"/>
    <col min="8454" max="8454" width="6.42578125" style="4" customWidth="1"/>
    <col min="8455" max="8455" width="6" style="4" customWidth="1"/>
    <col min="8456" max="8456" width="7.7109375" style="4" customWidth="1"/>
    <col min="8457" max="8457" width="8" style="4" customWidth="1"/>
    <col min="8458" max="8458" width="7.140625" style="4" customWidth="1"/>
    <col min="8459" max="8459" width="6.5703125" style="4" customWidth="1"/>
    <col min="8460" max="8460" width="5.42578125" style="4" customWidth="1"/>
    <col min="8461" max="8461" width="4.140625" style="4" customWidth="1"/>
    <col min="8462" max="8462" width="5.85546875" style="4" customWidth="1"/>
    <col min="8463" max="8463" width="4.7109375" style="4" customWidth="1"/>
    <col min="8464" max="8464" width="7.42578125" style="4" customWidth="1"/>
    <col min="8465" max="8465" width="8.140625" style="4" customWidth="1"/>
    <col min="8466" max="8466" width="8.28515625" style="4" customWidth="1"/>
    <col min="8467" max="8702" width="9.140625" style="4"/>
    <col min="8703" max="8703" width="3.7109375" style="4" customWidth="1"/>
    <col min="8704" max="8704" width="41.140625" style="4" customWidth="1"/>
    <col min="8705" max="8705" width="4.7109375" style="4" customWidth="1"/>
    <col min="8706" max="8706" width="4.85546875" style="4" customWidth="1"/>
    <col min="8707" max="8707" width="7.140625" style="4" customWidth="1"/>
    <col min="8708" max="8708" width="6.7109375" style="4" customWidth="1"/>
    <col min="8709" max="8709" width="6.5703125" style="4" customWidth="1"/>
    <col min="8710" max="8710" width="6.42578125" style="4" customWidth="1"/>
    <col min="8711" max="8711" width="6" style="4" customWidth="1"/>
    <col min="8712" max="8712" width="7.7109375" style="4" customWidth="1"/>
    <col min="8713" max="8713" width="8" style="4" customWidth="1"/>
    <col min="8714" max="8714" width="7.140625" style="4" customWidth="1"/>
    <col min="8715" max="8715" width="6.5703125" style="4" customWidth="1"/>
    <col min="8716" max="8716" width="5.42578125" style="4" customWidth="1"/>
    <col min="8717" max="8717" width="4.140625" style="4" customWidth="1"/>
    <col min="8718" max="8718" width="5.85546875" style="4" customWidth="1"/>
    <col min="8719" max="8719" width="4.7109375" style="4" customWidth="1"/>
    <col min="8720" max="8720" width="7.42578125" style="4" customWidth="1"/>
    <col min="8721" max="8721" width="8.140625" style="4" customWidth="1"/>
    <col min="8722" max="8722" width="8.28515625" style="4" customWidth="1"/>
    <col min="8723" max="8958" width="9.140625" style="4"/>
    <col min="8959" max="8959" width="3.7109375" style="4" customWidth="1"/>
    <col min="8960" max="8960" width="41.140625" style="4" customWidth="1"/>
    <col min="8961" max="8961" width="4.7109375" style="4" customWidth="1"/>
    <col min="8962" max="8962" width="4.85546875" style="4" customWidth="1"/>
    <col min="8963" max="8963" width="7.140625" style="4" customWidth="1"/>
    <col min="8964" max="8964" width="6.7109375" style="4" customWidth="1"/>
    <col min="8965" max="8965" width="6.5703125" style="4" customWidth="1"/>
    <col min="8966" max="8966" width="6.42578125" style="4" customWidth="1"/>
    <col min="8967" max="8967" width="6" style="4" customWidth="1"/>
    <col min="8968" max="8968" width="7.7109375" style="4" customWidth="1"/>
    <col min="8969" max="8969" width="8" style="4" customWidth="1"/>
    <col min="8970" max="8970" width="7.140625" style="4" customWidth="1"/>
    <col min="8971" max="8971" width="6.5703125" style="4" customWidth="1"/>
    <col min="8972" max="8972" width="5.42578125" style="4" customWidth="1"/>
    <col min="8973" max="8973" width="4.140625" style="4" customWidth="1"/>
    <col min="8974" max="8974" width="5.85546875" style="4" customWidth="1"/>
    <col min="8975" max="8975" width="4.7109375" style="4" customWidth="1"/>
    <col min="8976" max="8976" width="7.42578125" style="4" customWidth="1"/>
    <col min="8977" max="8977" width="8.140625" style="4" customWidth="1"/>
    <col min="8978" max="8978" width="8.28515625" style="4" customWidth="1"/>
    <col min="8979" max="9214" width="9.140625" style="4"/>
    <col min="9215" max="9215" width="3.7109375" style="4" customWidth="1"/>
    <col min="9216" max="9216" width="41.140625" style="4" customWidth="1"/>
    <col min="9217" max="9217" width="4.7109375" style="4" customWidth="1"/>
    <col min="9218" max="9218" width="4.85546875" style="4" customWidth="1"/>
    <col min="9219" max="9219" width="7.140625" style="4" customWidth="1"/>
    <col min="9220" max="9220" width="6.7109375" style="4" customWidth="1"/>
    <col min="9221" max="9221" width="6.5703125" style="4" customWidth="1"/>
    <col min="9222" max="9222" width="6.42578125" style="4" customWidth="1"/>
    <col min="9223" max="9223" width="6" style="4" customWidth="1"/>
    <col min="9224" max="9224" width="7.7109375" style="4" customWidth="1"/>
    <col min="9225" max="9225" width="8" style="4" customWidth="1"/>
    <col min="9226" max="9226" width="7.140625" style="4" customWidth="1"/>
    <col min="9227" max="9227" width="6.5703125" style="4" customWidth="1"/>
    <col min="9228" max="9228" width="5.42578125" style="4" customWidth="1"/>
    <col min="9229" max="9229" width="4.140625" style="4" customWidth="1"/>
    <col min="9230" max="9230" width="5.85546875" style="4" customWidth="1"/>
    <col min="9231" max="9231" width="4.7109375" style="4" customWidth="1"/>
    <col min="9232" max="9232" width="7.42578125" style="4" customWidth="1"/>
    <col min="9233" max="9233" width="8.140625" style="4" customWidth="1"/>
    <col min="9234" max="9234" width="8.28515625" style="4" customWidth="1"/>
    <col min="9235" max="9470" width="9.140625" style="4"/>
    <col min="9471" max="9471" width="3.7109375" style="4" customWidth="1"/>
    <col min="9472" max="9472" width="41.140625" style="4" customWidth="1"/>
    <col min="9473" max="9473" width="4.7109375" style="4" customWidth="1"/>
    <col min="9474" max="9474" width="4.85546875" style="4" customWidth="1"/>
    <col min="9475" max="9475" width="7.140625" style="4" customWidth="1"/>
    <col min="9476" max="9476" width="6.7109375" style="4" customWidth="1"/>
    <col min="9477" max="9477" width="6.5703125" style="4" customWidth="1"/>
    <col min="9478" max="9478" width="6.42578125" style="4" customWidth="1"/>
    <col min="9479" max="9479" width="6" style="4" customWidth="1"/>
    <col min="9480" max="9480" width="7.7109375" style="4" customWidth="1"/>
    <col min="9481" max="9481" width="8" style="4" customWidth="1"/>
    <col min="9482" max="9482" width="7.140625" style="4" customWidth="1"/>
    <col min="9483" max="9483" width="6.5703125" style="4" customWidth="1"/>
    <col min="9484" max="9484" width="5.42578125" style="4" customWidth="1"/>
    <col min="9485" max="9485" width="4.140625" style="4" customWidth="1"/>
    <col min="9486" max="9486" width="5.85546875" style="4" customWidth="1"/>
    <col min="9487" max="9487" width="4.7109375" style="4" customWidth="1"/>
    <col min="9488" max="9488" width="7.42578125" style="4" customWidth="1"/>
    <col min="9489" max="9489" width="8.140625" style="4" customWidth="1"/>
    <col min="9490" max="9490" width="8.28515625" style="4" customWidth="1"/>
    <col min="9491" max="9726" width="9.140625" style="4"/>
    <col min="9727" max="9727" width="3.7109375" style="4" customWidth="1"/>
    <col min="9728" max="9728" width="41.140625" style="4" customWidth="1"/>
    <col min="9729" max="9729" width="4.7109375" style="4" customWidth="1"/>
    <col min="9730" max="9730" width="4.85546875" style="4" customWidth="1"/>
    <col min="9731" max="9731" width="7.140625" style="4" customWidth="1"/>
    <col min="9732" max="9732" width="6.7109375" style="4" customWidth="1"/>
    <col min="9733" max="9733" width="6.5703125" style="4" customWidth="1"/>
    <col min="9734" max="9734" width="6.42578125" style="4" customWidth="1"/>
    <col min="9735" max="9735" width="6" style="4" customWidth="1"/>
    <col min="9736" max="9736" width="7.7109375" style="4" customWidth="1"/>
    <col min="9737" max="9737" width="8" style="4" customWidth="1"/>
    <col min="9738" max="9738" width="7.140625" style="4" customWidth="1"/>
    <col min="9739" max="9739" width="6.5703125" style="4" customWidth="1"/>
    <col min="9740" max="9740" width="5.42578125" style="4" customWidth="1"/>
    <col min="9741" max="9741" width="4.140625" style="4" customWidth="1"/>
    <col min="9742" max="9742" width="5.85546875" style="4" customWidth="1"/>
    <col min="9743" max="9743" width="4.7109375" style="4" customWidth="1"/>
    <col min="9744" max="9744" width="7.42578125" style="4" customWidth="1"/>
    <col min="9745" max="9745" width="8.140625" style="4" customWidth="1"/>
    <col min="9746" max="9746" width="8.28515625" style="4" customWidth="1"/>
    <col min="9747" max="9982" width="9.140625" style="4"/>
    <col min="9983" max="9983" width="3.7109375" style="4" customWidth="1"/>
    <col min="9984" max="9984" width="41.140625" style="4" customWidth="1"/>
    <col min="9985" max="9985" width="4.7109375" style="4" customWidth="1"/>
    <col min="9986" max="9986" width="4.85546875" style="4" customWidth="1"/>
    <col min="9987" max="9987" width="7.140625" style="4" customWidth="1"/>
    <col min="9988" max="9988" width="6.7109375" style="4" customWidth="1"/>
    <col min="9989" max="9989" width="6.5703125" style="4" customWidth="1"/>
    <col min="9990" max="9990" width="6.42578125" style="4" customWidth="1"/>
    <col min="9991" max="9991" width="6" style="4" customWidth="1"/>
    <col min="9992" max="9992" width="7.7109375" style="4" customWidth="1"/>
    <col min="9993" max="9993" width="8" style="4" customWidth="1"/>
    <col min="9994" max="9994" width="7.140625" style="4" customWidth="1"/>
    <col min="9995" max="9995" width="6.5703125" style="4" customWidth="1"/>
    <col min="9996" max="9996" width="5.42578125" style="4" customWidth="1"/>
    <col min="9997" max="9997" width="4.140625" style="4" customWidth="1"/>
    <col min="9998" max="9998" width="5.85546875" style="4" customWidth="1"/>
    <col min="9999" max="9999" width="4.7109375" style="4" customWidth="1"/>
    <col min="10000" max="10000" width="7.42578125" style="4" customWidth="1"/>
    <col min="10001" max="10001" width="8.140625" style="4" customWidth="1"/>
    <col min="10002" max="10002" width="8.28515625" style="4" customWidth="1"/>
    <col min="10003" max="10238" width="9.140625" style="4"/>
    <col min="10239" max="10239" width="3.7109375" style="4" customWidth="1"/>
    <col min="10240" max="10240" width="41.140625" style="4" customWidth="1"/>
    <col min="10241" max="10241" width="4.7109375" style="4" customWidth="1"/>
    <col min="10242" max="10242" width="4.85546875" style="4" customWidth="1"/>
    <col min="10243" max="10243" width="7.140625" style="4" customWidth="1"/>
    <col min="10244" max="10244" width="6.7109375" style="4" customWidth="1"/>
    <col min="10245" max="10245" width="6.5703125" style="4" customWidth="1"/>
    <col min="10246" max="10246" width="6.42578125" style="4" customWidth="1"/>
    <col min="10247" max="10247" width="6" style="4" customWidth="1"/>
    <col min="10248" max="10248" width="7.7109375" style="4" customWidth="1"/>
    <col min="10249" max="10249" width="8" style="4" customWidth="1"/>
    <col min="10250" max="10250" width="7.140625" style="4" customWidth="1"/>
    <col min="10251" max="10251" width="6.5703125" style="4" customWidth="1"/>
    <col min="10252" max="10252" width="5.42578125" style="4" customWidth="1"/>
    <col min="10253" max="10253" width="4.140625" style="4" customWidth="1"/>
    <col min="10254" max="10254" width="5.85546875" style="4" customWidth="1"/>
    <col min="10255" max="10255" width="4.7109375" style="4" customWidth="1"/>
    <col min="10256" max="10256" width="7.42578125" style="4" customWidth="1"/>
    <col min="10257" max="10257" width="8.140625" style="4" customWidth="1"/>
    <col min="10258" max="10258" width="8.28515625" style="4" customWidth="1"/>
    <col min="10259" max="10494" width="9.140625" style="4"/>
    <col min="10495" max="10495" width="3.7109375" style="4" customWidth="1"/>
    <col min="10496" max="10496" width="41.140625" style="4" customWidth="1"/>
    <col min="10497" max="10497" width="4.7109375" style="4" customWidth="1"/>
    <col min="10498" max="10498" width="4.85546875" style="4" customWidth="1"/>
    <col min="10499" max="10499" width="7.140625" style="4" customWidth="1"/>
    <col min="10500" max="10500" width="6.7109375" style="4" customWidth="1"/>
    <col min="10501" max="10501" width="6.5703125" style="4" customWidth="1"/>
    <col min="10502" max="10502" width="6.42578125" style="4" customWidth="1"/>
    <col min="10503" max="10503" width="6" style="4" customWidth="1"/>
    <col min="10504" max="10504" width="7.7109375" style="4" customWidth="1"/>
    <col min="10505" max="10505" width="8" style="4" customWidth="1"/>
    <col min="10506" max="10506" width="7.140625" style="4" customWidth="1"/>
    <col min="10507" max="10507" width="6.5703125" style="4" customWidth="1"/>
    <col min="10508" max="10508" width="5.42578125" style="4" customWidth="1"/>
    <col min="10509" max="10509" width="4.140625" style="4" customWidth="1"/>
    <col min="10510" max="10510" width="5.85546875" style="4" customWidth="1"/>
    <col min="10511" max="10511" width="4.7109375" style="4" customWidth="1"/>
    <col min="10512" max="10512" width="7.42578125" style="4" customWidth="1"/>
    <col min="10513" max="10513" width="8.140625" style="4" customWidth="1"/>
    <col min="10514" max="10514" width="8.28515625" style="4" customWidth="1"/>
    <col min="10515" max="10750" width="9.140625" style="4"/>
    <col min="10751" max="10751" width="3.7109375" style="4" customWidth="1"/>
    <col min="10752" max="10752" width="41.140625" style="4" customWidth="1"/>
    <col min="10753" max="10753" width="4.7109375" style="4" customWidth="1"/>
    <col min="10754" max="10754" width="4.85546875" style="4" customWidth="1"/>
    <col min="10755" max="10755" width="7.140625" style="4" customWidth="1"/>
    <col min="10756" max="10756" width="6.7109375" style="4" customWidth="1"/>
    <col min="10757" max="10757" width="6.5703125" style="4" customWidth="1"/>
    <col min="10758" max="10758" width="6.42578125" style="4" customWidth="1"/>
    <col min="10759" max="10759" width="6" style="4" customWidth="1"/>
    <col min="10760" max="10760" width="7.7109375" style="4" customWidth="1"/>
    <col min="10761" max="10761" width="8" style="4" customWidth="1"/>
    <col min="10762" max="10762" width="7.140625" style="4" customWidth="1"/>
    <col min="10763" max="10763" width="6.5703125" style="4" customWidth="1"/>
    <col min="10764" max="10764" width="5.42578125" style="4" customWidth="1"/>
    <col min="10765" max="10765" width="4.140625" style="4" customWidth="1"/>
    <col min="10766" max="10766" width="5.85546875" style="4" customWidth="1"/>
    <col min="10767" max="10767" width="4.7109375" style="4" customWidth="1"/>
    <col min="10768" max="10768" width="7.42578125" style="4" customWidth="1"/>
    <col min="10769" max="10769" width="8.140625" style="4" customWidth="1"/>
    <col min="10770" max="10770" width="8.28515625" style="4" customWidth="1"/>
    <col min="10771" max="11006" width="9.140625" style="4"/>
    <col min="11007" max="11007" width="3.7109375" style="4" customWidth="1"/>
    <col min="11008" max="11008" width="41.140625" style="4" customWidth="1"/>
    <col min="11009" max="11009" width="4.7109375" style="4" customWidth="1"/>
    <col min="11010" max="11010" width="4.85546875" style="4" customWidth="1"/>
    <col min="11011" max="11011" width="7.140625" style="4" customWidth="1"/>
    <col min="11012" max="11012" width="6.7109375" style="4" customWidth="1"/>
    <col min="11013" max="11013" width="6.5703125" style="4" customWidth="1"/>
    <col min="11014" max="11014" width="6.42578125" style="4" customWidth="1"/>
    <col min="11015" max="11015" width="6" style="4" customWidth="1"/>
    <col min="11016" max="11016" width="7.7109375" style="4" customWidth="1"/>
    <col min="11017" max="11017" width="8" style="4" customWidth="1"/>
    <col min="11018" max="11018" width="7.140625" style="4" customWidth="1"/>
    <col min="11019" max="11019" width="6.5703125" style="4" customWidth="1"/>
    <col min="11020" max="11020" width="5.42578125" style="4" customWidth="1"/>
    <col min="11021" max="11021" width="4.140625" style="4" customWidth="1"/>
    <col min="11022" max="11022" width="5.85546875" style="4" customWidth="1"/>
    <col min="11023" max="11023" width="4.7109375" style="4" customWidth="1"/>
    <col min="11024" max="11024" width="7.42578125" style="4" customWidth="1"/>
    <col min="11025" max="11025" width="8.140625" style="4" customWidth="1"/>
    <col min="11026" max="11026" width="8.28515625" style="4" customWidth="1"/>
    <col min="11027" max="11262" width="9.140625" style="4"/>
    <col min="11263" max="11263" width="3.7109375" style="4" customWidth="1"/>
    <col min="11264" max="11264" width="41.140625" style="4" customWidth="1"/>
    <col min="11265" max="11265" width="4.7109375" style="4" customWidth="1"/>
    <col min="11266" max="11266" width="4.85546875" style="4" customWidth="1"/>
    <col min="11267" max="11267" width="7.140625" style="4" customWidth="1"/>
    <col min="11268" max="11268" width="6.7109375" style="4" customWidth="1"/>
    <col min="11269" max="11269" width="6.5703125" style="4" customWidth="1"/>
    <col min="11270" max="11270" width="6.42578125" style="4" customWidth="1"/>
    <col min="11271" max="11271" width="6" style="4" customWidth="1"/>
    <col min="11272" max="11272" width="7.7109375" style="4" customWidth="1"/>
    <col min="11273" max="11273" width="8" style="4" customWidth="1"/>
    <col min="11274" max="11274" width="7.140625" style="4" customWidth="1"/>
    <col min="11275" max="11275" width="6.5703125" style="4" customWidth="1"/>
    <col min="11276" max="11276" width="5.42578125" style="4" customWidth="1"/>
    <col min="11277" max="11277" width="4.140625" style="4" customWidth="1"/>
    <col min="11278" max="11278" width="5.85546875" style="4" customWidth="1"/>
    <col min="11279" max="11279" width="4.7109375" style="4" customWidth="1"/>
    <col min="11280" max="11280" width="7.42578125" style="4" customWidth="1"/>
    <col min="11281" max="11281" width="8.140625" style="4" customWidth="1"/>
    <col min="11282" max="11282" width="8.28515625" style="4" customWidth="1"/>
    <col min="11283" max="11518" width="9.140625" style="4"/>
    <col min="11519" max="11519" width="3.7109375" style="4" customWidth="1"/>
    <col min="11520" max="11520" width="41.140625" style="4" customWidth="1"/>
    <col min="11521" max="11521" width="4.7109375" style="4" customWidth="1"/>
    <col min="11522" max="11522" width="4.85546875" style="4" customWidth="1"/>
    <col min="11523" max="11523" width="7.140625" style="4" customWidth="1"/>
    <col min="11524" max="11524" width="6.7109375" style="4" customWidth="1"/>
    <col min="11525" max="11525" width="6.5703125" style="4" customWidth="1"/>
    <col min="11526" max="11526" width="6.42578125" style="4" customWidth="1"/>
    <col min="11527" max="11527" width="6" style="4" customWidth="1"/>
    <col min="11528" max="11528" width="7.7109375" style="4" customWidth="1"/>
    <col min="11529" max="11529" width="8" style="4" customWidth="1"/>
    <col min="11530" max="11530" width="7.140625" style="4" customWidth="1"/>
    <col min="11531" max="11531" width="6.5703125" style="4" customWidth="1"/>
    <col min="11532" max="11532" width="5.42578125" style="4" customWidth="1"/>
    <col min="11533" max="11533" width="4.140625" style="4" customWidth="1"/>
    <col min="11534" max="11534" width="5.85546875" style="4" customWidth="1"/>
    <col min="11535" max="11535" width="4.7109375" style="4" customWidth="1"/>
    <col min="11536" max="11536" width="7.42578125" style="4" customWidth="1"/>
    <col min="11537" max="11537" width="8.140625" style="4" customWidth="1"/>
    <col min="11538" max="11538" width="8.28515625" style="4" customWidth="1"/>
    <col min="11539" max="11774" width="9.140625" style="4"/>
    <col min="11775" max="11775" width="3.7109375" style="4" customWidth="1"/>
    <col min="11776" max="11776" width="41.140625" style="4" customWidth="1"/>
    <col min="11777" max="11777" width="4.7109375" style="4" customWidth="1"/>
    <col min="11778" max="11778" width="4.85546875" style="4" customWidth="1"/>
    <col min="11779" max="11779" width="7.140625" style="4" customWidth="1"/>
    <col min="11780" max="11780" width="6.7109375" style="4" customWidth="1"/>
    <col min="11781" max="11781" width="6.5703125" style="4" customWidth="1"/>
    <col min="11782" max="11782" width="6.42578125" style="4" customWidth="1"/>
    <col min="11783" max="11783" width="6" style="4" customWidth="1"/>
    <col min="11784" max="11784" width="7.7109375" style="4" customWidth="1"/>
    <col min="11785" max="11785" width="8" style="4" customWidth="1"/>
    <col min="11786" max="11786" width="7.140625" style="4" customWidth="1"/>
    <col min="11787" max="11787" width="6.5703125" style="4" customWidth="1"/>
    <col min="11788" max="11788" width="5.42578125" style="4" customWidth="1"/>
    <col min="11789" max="11789" width="4.140625" style="4" customWidth="1"/>
    <col min="11790" max="11790" width="5.85546875" style="4" customWidth="1"/>
    <col min="11791" max="11791" width="4.7109375" style="4" customWidth="1"/>
    <col min="11792" max="11792" width="7.42578125" style="4" customWidth="1"/>
    <col min="11793" max="11793" width="8.140625" style="4" customWidth="1"/>
    <col min="11794" max="11794" width="8.28515625" style="4" customWidth="1"/>
    <col min="11795" max="12030" width="9.140625" style="4"/>
    <col min="12031" max="12031" width="3.7109375" style="4" customWidth="1"/>
    <col min="12032" max="12032" width="41.140625" style="4" customWidth="1"/>
    <col min="12033" max="12033" width="4.7109375" style="4" customWidth="1"/>
    <col min="12034" max="12034" width="4.85546875" style="4" customWidth="1"/>
    <col min="12035" max="12035" width="7.140625" style="4" customWidth="1"/>
    <col min="12036" max="12036" width="6.7109375" style="4" customWidth="1"/>
    <col min="12037" max="12037" width="6.5703125" style="4" customWidth="1"/>
    <col min="12038" max="12038" width="6.42578125" style="4" customWidth="1"/>
    <col min="12039" max="12039" width="6" style="4" customWidth="1"/>
    <col min="12040" max="12040" width="7.7109375" style="4" customWidth="1"/>
    <col min="12041" max="12041" width="8" style="4" customWidth="1"/>
    <col min="12042" max="12042" width="7.140625" style="4" customWidth="1"/>
    <col min="12043" max="12043" width="6.5703125" style="4" customWidth="1"/>
    <col min="12044" max="12044" width="5.42578125" style="4" customWidth="1"/>
    <col min="12045" max="12045" width="4.140625" style="4" customWidth="1"/>
    <col min="12046" max="12046" width="5.85546875" style="4" customWidth="1"/>
    <col min="12047" max="12047" width="4.7109375" style="4" customWidth="1"/>
    <col min="12048" max="12048" width="7.42578125" style="4" customWidth="1"/>
    <col min="12049" max="12049" width="8.140625" style="4" customWidth="1"/>
    <col min="12050" max="12050" width="8.28515625" style="4" customWidth="1"/>
    <col min="12051" max="12286" width="9.140625" style="4"/>
    <col min="12287" max="12287" width="3.7109375" style="4" customWidth="1"/>
    <col min="12288" max="12288" width="41.140625" style="4" customWidth="1"/>
    <col min="12289" max="12289" width="4.7109375" style="4" customWidth="1"/>
    <col min="12290" max="12290" width="4.85546875" style="4" customWidth="1"/>
    <col min="12291" max="12291" width="7.140625" style="4" customWidth="1"/>
    <col min="12292" max="12292" width="6.7109375" style="4" customWidth="1"/>
    <col min="12293" max="12293" width="6.5703125" style="4" customWidth="1"/>
    <col min="12294" max="12294" width="6.42578125" style="4" customWidth="1"/>
    <col min="12295" max="12295" width="6" style="4" customWidth="1"/>
    <col min="12296" max="12296" width="7.7109375" style="4" customWidth="1"/>
    <col min="12297" max="12297" width="8" style="4" customWidth="1"/>
    <col min="12298" max="12298" width="7.140625" style="4" customWidth="1"/>
    <col min="12299" max="12299" width="6.5703125" style="4" customWidth="1"/>
    <col min="12300" max="12300" width="5.42578125" style="4" customWidth="1"/>
    <col min="12301" max="12301" width="4.140625" style="4" customWidth="1"/>
    <col min="12302" max="12302" width="5.85546875" style="4" customWidth="1"/>
    <col min="12303" max="12303" width="4.7109375" style="4" customWidth="1"/>
    <col min="12304" max="12304" width="7.42578125" style="4" customWidth="1"/>
    <col min="12305" max="12305" width="8.140625" style="4" customWidth="1"/>
    <col min="12306" max="12306" width="8.28515625" style="4" customWidth="1"/>
    <col min="12307" max="12542" width="9.140625" style="4"/>
    <col min="12543" max="12543" width="3.7109375" style="4" customWidth="1"/>
    <col min="12544" max="12544" width="41.140625" style="4" customWidth="1"/>
    <col min="12545" max="12545" width="4.7109375" style="4" customWidth="1"/>
    <col min="12546" max="12546" width="4.85546875" style="4" customWidth="1"/>
    <col min="12547" max="12547" width="7.140625" style="4" customWidth="1"/>
    <col min="12548" max="12548" width="6.7109375" style="4" customWidth="1"/>
    <col min="12549" max="12549" width="6.5703125" style="4" customWidth="1"/>
    <col min="12550" max="12550" width="6.42578125" style="4" customWidth="1"/>
    <col min="12551" max="12551" width="6" style="4" customWidth="1"/>
    <col min="12552" max="12552" width="7.7109375" style="4" customWidth="1"/>
    <col min="12553" max="12553" width="8" style="4" customWidth="1"/>
    <col min="12554" max="12554" width="7.140625" style="4" customWidth="1"/>
    <col min="12555" max="12555" width="6.5703125" style="4" customWidth="1"/>
    <col min="12556" max="12556" width="5.42578125" style="4" customWidth="1"/>
    <col min="12557" max="12557" width="4.140625" style="4" customWidth="1"/>
    <col min="12558" max="12558" width="5.85546875" style="4" customWidth="1"/>
    <col min="12559" max="12559" width="4.7109375" style="4" customWidth="1"/>
    <col min="12560" max="12560" width="7.42578125" style="4" customWidth="1"/>
    <col min="12561" max="12561" width="8.140625" style="4" customWidth="1"/>
    <col min="12562" max="12562" width="8.28515625" style="4" customWidth="1"/>
    <col min="12563" max="12798" width="9.140625" style="4"/>
    <col min="12799" max="12799" width="3.7109375" style="4" customWidth="1"/>
    <col min="12800" max="12800" width="41.140625" style="4" customWidth="1"/>
    <col min="12801" max="12801" width="4.7109375" style="4" customWidth="1"/>
    <col min="12802" max="12802" width="4.85546875" style="4" customWidth="1"/>
    <col min="12803" max="12803" width="7.140625" style="4" customWidth="1"/>
    <col min="12804" max="12804" width="6.7109375" style="4" customWidth="1"/>
    <col min="12805" max="12805" width="6.5703125" style="4" customWidth="1"/>
    <col min="12806" max="12806" width="6.42578125" style="4" customWidth="1"/>
    <col min="12807" max="12807" width="6" style="4" customWidth="1"/>
    <col min="12808" max="12808" width="7.7109375" style="4" customWidth="1"/>
    <col min="12809" max="12809" width="8" style="4" customWidth="1"/>
    <col min="12810" max="12810" width="7.140625" style="4" customWidth="1"/>
    <col min="12811" max="12811" width="6.5703125" style="4" customWidth="1"/>
    <col min="12812" max="12812" width="5.42578125" style="4" customWidth="1"/>
    <col min="12813" max="12813" width="4.140625" style="4" customWidth="1"/>
    <col min="12814" max="12814" width="5.85546875" style="4" customWidth="1"/>
    <col min="12815" max="12815" width="4.7109375" style="4" customWidth="1"/>
    <col min="12816" max="12816" width="7.42578125" style="4" customWidth="1"/>
    <col min="12817" max="12817" width="8.140625" style="4" customWidth="1"/>
    <col min="12818" max="12818" width="8.28515625" style="4" customWidth="1"/>
    <col min="12819" max="13054" width="9.140625" style="4"/>
    <col min="13055" max="13055" width="3.7109375" style="4" customWidth="1"/>
    <col min="13056" max="13056" width="41.140625" style="4" customWidth="1"/>
    <col min="13057" max="13057" width="4.7109375" style="4" customWidth="1"/>
    <col min="13058" max="13058" width="4.85546875" style="4" customWidth="1"/>
    <col min="13059" max="13059" width="7.140625" style="4" customWidth="1"/>
    <col min="13060" max="13060" width="6.7109375" style="4" customWidth="1"/>
    <col min="13061" max="13061" width="6.5703125" style="4" customWidth="1"/>
    <col min="13062" max="13062" width="6.42578125" style="4" customWidth="1"/>
    <col min="13063" max="13063" width="6" style="4" customWidth="1"/>
    <col min="13064" max="13064" width="7.7109375" style="4" customWidth="1"/>
    <col min="13065" max="13065" width="8" style="4" customWidth="1"/>
    <col min="13066" max="13066" width="7.140625" style="4" customWidth="1"/>
    <col min="13067" max="13067" width="6.5703125" style="4" customWidth="1"/>
    <col min="13068" max="13068" width="5.42578125" style="4" customWidth="1"/>
    <col min="13069" max="13069" width="4.140625" style="4" customWidth="1"/>
    <col min="13070" max="13070" width="5.85546875" style="4" customWidth="1"/>
    <col min="13071" max="13071" width="4.7109375" style="4" customWidth="1"/>
    <col min="13072" max="13072" width="7.42578125" style="4" customWidth="1"/>
    <col min="13073" max="13073" width="8.140625" style="4" customWidth="1"/>
    <col min="13074" max="13074" width="8.28515625" style="4" customWidth="1"/>
    <col min="13075" max="13310" width="9.140625" style="4"/>
    <col min="13311" max="13311" width="3.7109375" style="4" customWidth="1"/>
    <col min="13312" max="13312" width="41.140625" style="4" customWidth="1"/>
    <col min="13313" max="13313" width="4.7109375" style="4" customWidth="1"/>
    <col min="13314" max="13314" width="4.85546875" style="4" customWidth="1"/>
    <col min="13315" max="13315" width="7.140625" style="4" customWidth="1"/>
    <col min="13316" max="13316" width="6.7109375" style="4" customWidth="1"/>
    <col min="13317" max="13317" width="6.5703125" style="4" customWidth="1"/>
    <col min="13318" max="13318" width="6.42578125" style="4" customWidth="1"/>
    <col min="13319" max="13319" width="6" style="4" customWidth="1"/>
    <col min="13320" max="13320" width="7.7109375" style="4" customWidth="1"/>
    <col min="13321" max="13321" width="8" style="4" customWidth="1"/>
    <col min="13322" max="13322" width="7.140625" style="4" customWidth="1"/>
    <col min="13323" max="13323" width="6.5703125" style="4" customWidth="1"/>
    <col min="13324" max="13324" width="5.42578125" style="4" customWidth="1"/>
    <col min="13325" max="13325" width="4.140625" style="4" customWidth="1"/>
    <col min="13326" max="13326" width="5.85546875" style="4" customWidth="1"/>
    <col min="13327" max="13327" width="4.7109375" style="4" customWidth="1"/>
    <col min="13328" max="13328" width="7.42578125" style="4" customWidth="1"/>
    <col min="13329" max="13329" width="8.140625" style="4" customWidth="1"/>
    <col min="13330" max="13330" width="8.28515625" style="4" customWidth="1"/>
    <col min="13331" max="13566" width="9.140625" style="4"/>
    <col min="13567" max="13567" width="3.7109375" style="4" customWidth="1"/>
    <col min="13568" max="13568" width="41.140625" style="4" customWidth="1"/>
    <col min="13569" max="13569" width="4.7109375" style="4" customWidth="1"/>
    <col min="13570" max="13570" width="4.85546875" style="4" customWidth="1"/>
    <col min="13571" max="13571" width="7.140625" style="4" customWidth="1"/>
    <col min="13572" max="13572" width="6.7109375" style="4" customWidth="1"/>
    <col min="13573" max="13573" width="6.5703125" style="4" customWidth="1"/>
    <col min="13574" max="13574" width="6.42578125" style="4" customWidth="1"/>
    <col min="13575" max="13575" width="6" style="4" customWidth="1"/>
    <col min="13576" max="13576" width="7.7109375" style="4" customWidth="1"/>
    <col min="13577" max="13577" width="8" style="4" customWidth="1"/>
    <col min="13578" max="13578" width="7.140625" style="4" customWidth="1"/>
    <col min="13579" max="13579" width="6.5703125" style="4" customWidth="1"/>
    <col min="13580" max="13580" width="5.42578125" style="4" customWidth="1"/>
    <col min="13581" max="13581" width="4.140625" style="4" customWidth="1"/>
    <col min="13582" max="13582" width="5.85546875" style="4" customWidth="1"/>
    <col min="13583" max="13583" width="4.7109375" style="4" customWidth="1"/>
    <col min="13584" max="13584" width="7.42578125" style="4" customWidth="1"/>
    <col min="13585" max="13585" width="8.140625" style="4" customWidth="1"/>
    <col min="13586" max="13586" width="8.28515625" style="4" customWidth="1"/>
    <col min="13587" max="13822" width="9.140625" style="4"/>
    <col min="13823" max="13823" width="3.7109375" style="4" customWidth="1"/>
    <col min="13824" max="13824" width="41.140625" style="4" customWidth="1"/>
    <col min="13825" max="13825" width="4.7109375" style="4" customWidth="1"/>
    <col min="13826" max="13826" width="4.85546875" style="4" customWidth="1"/>
    <col min="13827" max="13827" width="7.140625" style="4" customWidth="1"/>
    <col min="13828" max="13828" width="6.7109375" style="4" customWidth="1"/>
    <col min="13829" max="13829" width="6.5703125" style="4" customWidth="1"/>
    <col min="13830" max="13830" width="6.42578125" style="4" customWidth="1"/>
    <col min="13831" max="13831" width="6" style="4" customWidth="1"/>
    <col min="13832" max="13832" width="7.7109375" style="4" customWidth="1"/>
    <col min="13833" max="13833" width="8" style="4" customWidth="1"/>
    <col min="13834" max="13834" width="7.140625" style="4" customWidth="1"/>
    <col min="13835" max="13835" width="6.5703125" style="4" customWidth="1"/>
    <col min="13836" max="13836" width="5.42578125" style="4" customWidth="1"/>
    <col min="13837" max="13837" width="4.140625" style="4" customWidth="1"/>
    <col min="13838" max="13838" width="5.85546875" style="4" customWidth="1"/>
    <col min="13839" max="13839" width="4.7109375" style="4" customWidth="1"/>
    <col min="13840" max="13840" width="7.42578125" style="4" customWidth="1"/>
    <col min="13841" max="13841" width="8.140625" style="4" customWidth="1"/>
    <col min="13842" max="13842" width="8.28515625" style="4" customWidth="1"/>
    <col min="13843" max="14078" width="9.140625" style="4"/>
    <col min="14079" max="14079" width="3.7109375" style="4" customWidth="1"/>
    <col min="14080" max="14080" width="41.140625" style="4" customWidth="1"/>
    <col min="14081" max="14081" width="4.7109375" style="4" customWidth="1"/>
    <col min="14082" max="14082" width="4.85546875" style="4" customWidth="1"/>
    <col min="14083" max="14083" width="7.140625" style="4" customWidth="1"/>
    <col min="14084" max="14084" width="6.7109375" style="4" customWidth="1"/>
    <col min="14085" max="14085" width="6.5703125" style="4" customWidth="1"/>
    <col min="14086" max="14086" width="6.42578125" style="4" customWidth="1"/>
    <col min="14087" max="14087" width="6" style="4" customWidth="1"/>
    <col min="14088" max="14088" width="7.7109375" style="4" customWidth="1"/>
    <col min="14089" max="14089" width="8" style="4" customWidth="1"/>
    <col min="14090" max="14090" width="7.140625" style="4" customWidth="1"/>
    <col min="14091" max="14091" width="6.5703125" style="4" customWidth="1"/>
    <col min="14092" max="14092" width="5.42578125" style="4" customWidth="1"/>
    <col min="14093" max="14093" width="4.140625" style="4" customWidth="1"/>
    <col min="14094" max="14094" width="5.85546875" style="4" customWidth="1"/>
    <col min="14095" max="14095" width="4.7109375" style="4" customWidth="1"/>
    <col min="14096" max="14096" width="7.42578125" style="4" customWidth="1"/>
    <col min="14097" max="14097" width="8.140625" style="4" customWidth="1"/>
    <col min="14098" max="14098" width="8.28515625" style="4" customWidth="1"/>
    <col min="14099" max="14334" width="9.140625" style="4"/>
    <col min="14335" max="14335" width="3.7109375" style="4" customWidth="1"/>
    <col min="14336" max="14336" width="41.140625" style="4" customWidth="1"/>
    <col min="14337" max="14337" width="4.7109375" style="4" customWidth="1"/>
    <col min="14338" max="14338" width="4.85546875" style="4" customWidth="1"/>
    <col min="14339" max="14339" width="7.140625" style="4" customWidth="1"/>
    <col min="14340" max="14340" width="6.7109375" style="4" customWidth="1"/>
    <col min="14341" max="14341" width="6.5703125" style="4" customWidth="1"/>
    <col min="14342" max="14342" width="6.42578125" style="4" customWidth="1"/>
    <col min="14343" max="14343" width="6" style="4" customWidth="1"/>
    <col min="14344" max="14344" width="7.7109375" style="4" customWidth="1"/>
    <col min="14345" max="14345" width="8" style="4" customWidth="1"/>
    <col min="14346" max="14346" width="7.140625" style="4" customWidth="1"/>
    <col min="14347" max="14347" width="6.5703125" style="4" customWidth="1"/>
    <col min="14348" max="14348" width="5.42578125" style="4" customWidth="1"/>
    <col min="14349" max="14349" width="4.140625" style="4" customWidth="1"/>
    <col min="14350" max="14350" width="5.85546875" style="4" customWidth="1"/>
    <col min="14351" max="14351" width="4.7109375" style="4" customWidth="1"/>
    <col min="14352" max="14352" width="7.42578125" style="4" customWidth="1"/>
    <col min="14353" max="14353" width="8.140625" style="4" customWidth="1"/>
    <col min="14354" max="14354" width="8.28515625" style="4" customWidth="1"/>
    <col min="14355" max="14590" width="9.140625" style="4"/>
    <col min="14591" max="14591" width="3.7109375" style="4" customWidth="1"/>
    <col min="14592" max="14592" width="41.140625" style="4" customWidth="1"/>
    <col min="14593" max="14593" width="4.7109375" style="4" customWidth="1"/>
    <col min="14594" max="14594" width="4.85546875" style="4" customWidth="1"/>
    <col min="14595" max="14595" width="7.140625" style="4" customWidth="1"/>
    <col min="14596" max="14596" width="6.7109375" style="4" customWidth="1"/>
    <col min="14597" max="14597" width="6.5703125" style="4" customWidth="1"/>
    <col min="14598" max="14598" width="6.42578125" style="4" customWidth="1"/>
    <col min="14599" max="14599" width="6" style="4" customWidth="1"/>
    <col min="14600" max="14600" width="7.7109375" style="4" customWidth="1"/>
    <col min="14601" max="14601" width="8" style="4" customWidth="1"/>
    <col min="14602" max="14602" width="7.140625" style="4" customWidth="1"/>
    <col min="14603" max="14603" width="6.5703125" style="4" customWidth="1"/>
    <col min="14604" max="14604" width="5.42578125" style="4" customWidth="1"/>
    <col min="14605" max="14605" width="4.140625" style="4" customWidth="1"/>
    <col min="14606" max="14606" width="5.85546875" style="4" customWidth="1"/>
    <col min="14607" max="14607" width="4.7109375" style="4" customWidth="1"/>
    <col min="14608" max="14608" width="7.42578125" style="4" customWidth="1"/>
    <col min="14609" max="14609" width="8.140625" style="4" customWidth="1"/>
    <col min="14610" max="14610" width="8.28515625" style="4" customWidth="1"/>
    <col min="14611" max="14846" width="9.140625" style="4"/>
    <col min="14847" max="14847" width="3.7109375" style="4" customWidth="1"/>
    <col min="14848" max="14848" width="41.140625" style="4" customWidth="1"/>
    <col min="14849" max="14849" width="4.7109375" style="4" customWidth="1"/>
    <col min="14850" max="14850" width="4.85546875" style="4" customWidth="1"/>
    <col min="14851" max="14851" width="7.140625" style="4" customWidth="1"/>
    <col min="14852" max="14852" width="6.7109375" style="4" customWidth="1"/>
    <col min="14853" max="14853" width="6.5703125" style="4" customWidth="1"/>
    <col min="14854" max="14854" width="6.42578125" style="4" customWidth="1"/>
    <col min="14855" max="14855" width="6" style="4" customWidth="1"/>
    <col min="14856" max="14856" width="7.7109375" style="4" customWidth="1"/>
    <col min="14857" max="14857" width="8" style="4" customWidth="1"/>
    <col min="14858" max="14858" width="7.140625" style="4" customWidth="1"/>
    <col min="14859" max="14859" width="6.5703125" style="4" customWidth="1"/>
    <col min="14860" max="14860" width="5.42578125" style="4" customWidth="1"/>
    <col min="14861" max="14861" width="4.140625" style="4" customWidth="1"/>
    <col min="14862" max="14862" width="5.85546875" style="4" customWidth="1"/>
    <col min="14863" max="14863" width="4.7109375" style="4" customWidth="1"/>
    <col min="14864" max="14864" width="7.42578125" style="4" customWidth="1"/>
    <col min="14865" max="14865" width="8.140625" style="4" customWidth="1"/>
    <col min="14866" max="14866" width="8.28515625" style="4" customWidth="1"/>
    <col min="14867" max="15102" width="9.140625" style="4"/>
    <col min="15103" max="15103" width="3.7109375" style="4" customWidth="1"/>
    <col min="15104" max="15104" width="41.140625" style="4" customWidth="1"/>
    <col min="15105" max="15105" width="4.7109375" style="4" customWidth="1"/>
    <col min="15106" max="15106" width="4.85546875" style="4" customWidth="1"/>
    <col min="15107" max="15107" width="7.140625" style="4" customWidth="1"/>
    <col min="15108" max="15108" width="6.7109375" style="4" customWidth="1"/>
    <col min="15109" max="15109" width="6.5703125" style="4" customWidth="1"/>
    <col min="15110" max="15110" width="6.42578125" style="4" customWidth="1"/>
    <col min="15111" max="15111" width="6" style="4" customWidth="1"/>
    <col min="15112" max="15112" width="7.7109375" style="4" customWidth="1"/>
    <col min="15113" max="15113" width="8" style="4" customWidth="1"/>
    <col min="15114" max="15114" width="7.140625" style="4" customWidth="1"/>
    <col min="15115" max="15115" width="6.5703125" style="4" customWidth="1"/>
    <col min="15116" max="15116" width="5.42578125" style="4" customWidth="1"/>
    <col min="15117" max="15117" width="4.140625" style="4" customWidth="1"/>
    <col min="15118" max="15118" width="5.85546875" style="4" customWidth="1"/>
    <col min="15119" max="15119" width="4.7109375" style="4" customWidth="1"/>
    <col min="15120" max="15120" width="7.42578125" style="4" customWidth="1"/>
    <col min="15121" max="15121" width="8.140625" style="4" customWidth="1"/>
    <col min="15122" max="15122" width="8.28515625" style="4" customWidth="1"/>
    <col min="15123" max="15358" width="9.140625" style="4"/>
    <col min="15359" max="15359" width="3.7109375" style="4" customWidth="1"/>
    <col min="15360" max="15360" width="41.140625" style="4" customWidth="1"/>
    <col min="15361" max="15361" width="4.7109375" style="4" customWidth="1"/>
    <col min="15362" max="15362" width="4.85546875" style="4" customWidth="1"/>
    <col min="15363" max="15363" width="7.140625" style="4" customWidth="1"/>
    <col min="15364" max="15364" width="6.7109375" style="4" customWidth="1"/>
    <col min="15365" max="15365" width="6.5703125" style="4" customWidth="1"/>
    <col min="15366" max="15366" width="6.42578125" style="4" customWidth="1"/>
    <col min="15367" max="15367" width="6" style="4" customWidth="1"/>
    <col min="15368" max="15368" width="7.7109375" style="4" customWidth="1"/>
    <col min="15369" max="15369" width="8" style="4" customWidth="1"/>
    <col min="15370" max="15370" width="7.140625" style="4" customWidth="1"/>
    <col min="15371" max="15371" width="6.5703125" style="4" customWidth="1"/>
    <col min="15372" max="15372" width="5.42578125" style="4" customWidth="1"/>
    <col min="15373" max="15373" width="4.140625" style="4" customWidth="1"/>
    <col min="15374" max="15374" width="5.85546875" style="4" customWidth="1"/>
    <col min="15375" max="15375" width="4.7109375" style="4" customWidth="1"/>
    <col min="15376" max="15376" width="7.42578125" style="4" customWidth="1"/>
    <col min="15377" max="15377" width="8.140625" style="4" customWidth="1"/>
    <col min="15378" max="15378" width="8.28515625" style="4" customWidth="1"/>
    <col min="15379" max="15614" width="9.140625" style="4"/>
    <col min="15615" max="15615" width="3.7109375" style="4" customWidth="1"/>
    <col min="15616" max="15616" width="41.140625" style="4" customWidth="1"/>
    <col min="15617" max="15617" width="4.7109375" style="4" customWidth="1"/>
    <col min="15618" max="15618" width="4.85546875" style="4" customWidth="1"/>
    <col min="15619" max="15619" width="7.140625" style="4" customWidth="1"/>
    <col min="15620" max="15620" width="6.7109375" style="4" customWidth="1"/>
    <col min="15621" max="15621" width="6.5703125" style="4" customWidth="1"/>
    <col min="15622" max="15622" width="6.42578125" style="4" customWidth="1"/>
    <col min="15623" max="15623" width="6" style="4" customWidth="1"/>
    <col min="15624" max="15624" width="7.7109375" style="4" customWidth="1"/>
    <col min="15625" max="15625" width="8" style="4" customWidth="1"/>
    <col min="15626" max="15626" width="7.140625" style="4" customWidth="1"/>
    <col min="15627" max="15627" width="6.5703125" style="4" customWidth="1"/>
    <col min="15628" max="15628" width="5.42578125" style="4" customWidth="1"/>
    <col min="15629" max="15629" width="4.140625" style="4" customWidth="1"/>
    <col min="15630" max="15630" width="5.85546875" style="4" customWidth="1"/>
    <col min="15631" max="15631" width="4.7109375" style="4" customWidth="1"/>
    <col min="15632" max="15632" width="7.42578125" style="4" customWidth="1"/>
    <col min="15633" max="15633" width="8.140625" style="4" customWidth="1"/>
    <col min="15634" max="15634" width="8.28515625" style="4" customWidth="1"/>
    <col min="15635" max="15870" width="9.140625" style="4"/>
    <col min="15871" max="15871" width="3.7109375" style="4" customWidth="1"/>
    <col min="15872" max="15872" width="41.140625" style="4" customWidth="1"/>
    <col min="15873" max="15873" width="4.7109375" style="4" customWidth="1"/>
    <col min="15874" max="15874" width="4.85546875" style="4" customWidth="1"/>
    <col min="15875" max="15875" width="7.140625" style="4" customWidth="1"/>
    <col min="15876" max="15876" width="6.7109375" style="4" customWidth="1"/>
    <col min="15877" max="15877" width="6.5703125" style="4" customWidth="1"/>
    <col min="15878" max="15878" width="6.42578125" style="4" customWidth="1"/>
    <col min="15879" max="15879" width="6" style="4" customWidth="1"/>
    <col min="15880" max="15880" width="7.7109375" style="4" customWidth="1"/>
    <col min="15881" max="15881" width="8" style="4" customWidth="1"/>
    <col min="15882" max="15882" width="7.140625" style="4" customWidth="1"/>
    <col min="15883" max="15883" width="6.5703125" style="4" customWidth="1"/>
    <col min="15884" max="15884" width="5.42578125" style="4" customWidth="1"/>
    <col min="15885" max="15885" width="4.140625" style="4" customWidth="1"/>
    <col min="15886" max="15886" width="5.85546875" style="4" customWidth="1"/>
    <col min="15887" max="15887" width="4.7109375" style="4" customWidth="1"/>
    <col min="15888" max="15888" width="7.42578125" style="4" customWidth="1"/>
    <col min="15889" max="15889" width="8.140625" style="4" customWidth="1"/>
    <col min="15890" max="15890" width="8.28515625" style="4" customWidth="1"/>
    <col min="15891" max="16126" width="9.140625" style="4"/>
    <col min="16127" max="16127" width="3.7109375" style="4" customWidth="1"/>
    <col min="16128" max="16128" width="41.140625" style="4" customWidth="1"/>
    <col min="16129" max="16129" width="4.7109375" style="4" customWidth="1"/>
    <col min="16130" max="16130" width="4.85546875" style="4" customWidth="1"/>
    <col min="16131" max="16131" width="7.140625" style="4" customWidth="1"/>
    <col min="16132" max="16132" width="6.7109375" style="4" customWidth="1"/>
    <col min="16133" max="16133" width="6.5703125" style="4" customWidth="1"/>
    <col min="16134" max="16134" width="6.42578125" style="4" customWidth="1"/>
    <col min="16135" max="16135" width="6" style="4" customWidth="1"/>
    <col min="16136" max="16136" width="7.7109375" style="4" customWidth="1"/>
    <col min="16137" max="16137" width="8" style="4" customWidth="1"/>
    <col min="16138" max="16138" width="7.140625" style="4" customWidth="1"/>
    <col min="16139" max="16139" width="6.5703125" style="4" customWidth="1"/>
    <col min="16140" max="16140" width="5.42578125" style="4" customWidth="1"/>
    <col min="16141" max="16141" width="4.140625" style="4" customWidth="1"/>
    <col min="16142" max="16142" width="5.85546875" style="4" customWidth="1"/>
    <col min="16143" max="16143" width="4.7109375" style="4" customWidth="1"/>
    <col min="16144" max="16144" width="7.42578125" style="4" customWidth="1"/>
    <col min="16145" max="16145" width="8.140625" style="4" customWidth="1"/>
    <col min="16146" max="16146" width="8.28515625" style="4" customWidth="1"/>
    <col min="16147" max="16384" width="9.140625" style="4"/>
  </cols>
  <sheetData>
    <row r="1" spans="1:27" x14ac:dyDescent="0.25">
      <c r="A1" s="1"/>
      <c r="B1" s="2"/>
      <c r="C1" s="2"/>
      <c r="D1" s="2"/>
      <c r="E1" s="2"/>
      <c r="F1" s="2"/>
      <c r="G1" s="2"/>
      <c r="H1" s="2"/>
      <c r="I1" s="2"/>
      <c r="J1" s="2"/>
      <c r="K1" s="2"/>
      <c r="L1" s="2"/>
      <c r="M1" s="2"/>
      <c r="N1" s="2"/>
      <c r="O1" s="2"/>
      <c r="P1" s="2"/>
      <c r="Q1" s="2"/>
      <c r="R1" s="2"/>
      <c r="S1" s="2"/>
      <c r="T1" s="3" t="s">
        <v>653</v>
      </c>
    </row>
    <row r="2" spans="1:27" x14ac:dyDescent="0.25">
      <c r="A2" s="1"/>
      <c r="B2" s="2"/>
      <c r="C2" s="2"/>
      <c r="D2" s="2"/>
      <c r="E2" s="2"/>
      <c r="F2" s="2"/>
      <c r="G2" s="2"/>
      <c r="H2" s="2"/>
      <c r="I2" s="2"/>
      <c r="J2" s="2"/>
      <c r="K2" s="2"/>
      <c r="L2" s="2"/>
      <c r="M2" s="2"/>
      <c r="N2" s="2"/>
      <c r="O2" s="2"/>
      <c r="P2" s="2"/>
      <c r="Q2" s="2"/>
      <c r="R2" s="2"/>
      <c r="S2" s="2"/>
      <c r="T2" s="2"/>
    </row>
    <row r="3" spans="1:27" x14ac:dyDescent="0.25">
      <c r="A3" s="1103" t="s">
        <v>1665</v>
      </c>
      <c r="B3" s="1103"/>
      <c r="C3" s="1103"/>
      <c r="D3" s="1103"/>
      <c r="E3" s="1103"/>
      <c r="F3" s="1103"/>
      <c r="G3" s="1103"/>
      <c r="H3" s="1103"/>
      <c r="I3" s="1103"/>
      <c r="J3" s="1103"/>
      <c r="K3" s="1103"/>
      <c r="L3" s="1103"/>
      <c r="M3" s="1103"/>
      <c r="N3" s="1103"/>
      <c r="O3" s="1103"/>
      <c r="P3" s="1103"/>
      <c r="Q3" s="1103"/>
      <c r="R3" s="1103"/>
      <c r="S3" s="1103"/>
      <c r="T3" s="1103"/>
    </row>
    <row r="4" spans="1:27" x14ac:dyDescent="0.25">
      <c r="A4" s="5"/>
      <c r="B4" s="5"/>
      <c r="C4" s="5"/>
      <c r="D4" s="5"/>
      <c r="E4" s="5"/>
      <c r="F4" s="5"/>
      <c r="G4" s="5"/>
      <c r="H4" s="5"/>
      <c r="I4" s="5"/>
      <c r="J4" s="5"/>
      <c r="K4" s="5"/>
      <c r="L4" s="5"/>
      <c r="M4" s="5"/>
      <c r="N4" s="5"/>
      <c r="O4" s="5"/>
      <c r="P4" s="5"/>
      <c r="Q4" s="5"/>
      <c r="R4" s="5"/>
      <c r="S4" s="5"/>
      <c r="T4" s="5"/>
    </row>
    <row r="5" spans="1:27" ht="15" customHeight="1" x14ac:dyDescent="0.25">
      <c r="A5" s="1104" t="s">
        <v>34</v>
      </c>
      <c r="B5" s="1105" t="s">
        <v>240</v>
      </c>
      <c r="C5" s="1106" t="s">
        <v>241</v>
      </c>
      <c r="D5" s="1106"/>
      <c r="E5" s="1106"/>
      <c r="F5" s="1106"/>
      <c r="G5" s="1106"/>
      <c r="H5" s="1106"/>
      <c r="I5" s="1106"/>
      <c r="J5" s="1106"/>
      <c r="K5" s="1106"/>
      <c r="L5" s="1106"/>
      <c r="M5" s="1106"/>
      <c r="N5" s="1107" t="s">
        <v>242</v>
      </c>
      <c r="O5" s="1108"/>
      <c r="P5" s="1108"/>
      <c r="Q5" s="1108"/>
      <c r="R5" s="1109"/>
      <c r="S5" s="1105" t="s">
        <v>243</v>
      </c>
      <c r="T5" s="1105" t="s">
        <v>244</v>
      </c>
    </row>
    <row r="6" spans="1:27" ht="23.25" customHeight="1" x14ac:dyDescent="0.25">
      <c r="A6" s="1104"/>
      <c r="B6" s="1105"/>
      <c r="C6" s="1113" t="s">
        <v>3</v>
      </c>
      <c r="D6" s="1115" t="s">
        <v>245</v>
      </c>
      <c r="E6" s="1100" t="s">
        <v>246</v>
      </c>
      <c r="F6" s="1101"/>
      <c r="G6" s="1101"/>
      <c r="H6" s="1101"/>
      <c r="I6" s="1102"/>
      <c r="J6" s="1100" t="s">
        <v>1666</v>
      </c>
      <c r="K6" s="1101"/>
      <c r="L6" s="1101"/>
      <c r="M6" s="1102"/>
      <c r="N6" s="1110"/>
      <c r="O6" s="1111"/>
      <c r="P6" s="1111"/>
      <c r="Q6" s="1111"/>
      <c r="R6" s="1112"/>
      <c r="S6" s="1105"/>
      <c r="T6" s="1105"/>
    </row>
    <row r="7" spans="1:27" ht="36" customHeight="1" x14ac:dyDescent="0.25">
      <c r="A7" s="1104"/>
      <c r="B7" s="1105"/>
      <c r="C7" s="1114"/>
      <c r="D7" s="1116"/>
      <c r="E7" s="6" t="s">
        <v>247</v>
      </c>
      <c r="F7" s="7" t="s">
        <v>248</v>
      </c>
      <c r="G7" s="7" t="s">
        <v>249</v>
      </c>
      <c r="H7" s="7" t="s">
        <v>250</v>
      </c>
      <c r="I7" s="118" t="s">
        <v>251</v>
      </c>
      <c r="J7" s="8" t="s">
        <v>252</v>
      </c>
      <c r="K7" s="8" t="s">
        <v>253</v>
      </c>
      <c r="L7" s="8" t="s">
        <v>254</v>
      </c>
      <c r="M7" s="9" t="s">
        <v>255</v>
      </c>
      <c r="N7" s="10" t="s">
        <v>3</v>
      </c>
      <c r="O7" s="10" t="s">
        <v>256</v>
      </c>
      <c r="P7" s="10" t="s">
        <v>52</v>
      </c>
      <c r="Q7" s="10" t="s">
        <v>40</v>
      </c>
      <c r="R7" s="119" t="s">
        <v>257</v>
      </c>
      <c r="S7" s="1105"/>
      <c r="T7" s="1105"/>
    </row>
    <row r="8" spans="1:27" ht="9" customHeight="1" x14ac:dyDescent="0.25">
      <c r="A8" s="337"/>
      <c r="B8" s="338"/>
      <c r="C8" s="338"/>
      <c r="D8" s="338"/>
      <c r="E8" s="338"/>
      <c r="F8" s="338"/>
      <c r="G8" s="338"/>
      <c r="H8" s="338"/>
      <c r="I8" s="338">
        <v>0.3</v>
      </c>
      <c r="J8" s="338"/>
      <c r="K8" s="338"/>
      <c r="L8" s="338"/>
      <c r="M8" s="338">
        <v>0.35</v>
      </c>
      <c r="N8" s="338"/>
      <c r="O8" s="338"/>
      <c r="P8" s="338"/>
      <c r="Q8" s="338"/>
      <c r="R8" s="338">
        <v>0.35</v>
      </c>
      <c r="S8" s="338"/>
      <c r="T8" s="338"/>
    </row>
    <row r="9" spans="1:27" s="16" customFormat="1" ht="22.5" customHeight="1" x14ac:dyDescent="0.25">
      <c r="A9" s="12"/>
      <c r="B9" s="13" t="s">
        <v>3</v>
      </c>
      <c r="C9" s="14">
        <f t="shared" ref="C9:H9" si="0">SUM(C10,C18,C23,C28,C33,C38,C43,C49,C54,C61,C67,C72,C78,C81,C86)</f>
        <v>415</v>
      </c>
      <c r="D9" s="14">
        <f t="shared" si="0"/>
        <v>33</v>
      </c>
      <c r="E9" s="14">
        <f t="shared" si="0"/>
        <v>39</v>
      </c>
      <c r="F9" s="14">
        <f t="shared" si="0"/>
        <v>279</v>
      </c>
      <c r="G9" s="14">
        <f t="shared" si="0"/>
        <v>32</v>
      </c>
      <c r="H9" s="14">
        <f t="shared" si="0"/>
        <v>32</v>
      </c>
      <c r="I9" s="412">
        <f>'1. Показатели'!AC3</f>
        <v>0.95449571800931488</v>
      </c>
      <c r="J9" s="15">
        <f>J10+J18+J23+J28+J33+J38+J43+J49+J54+J61+J67+J72+J78+J81+J86</f>
        <v>113</v>
      </c>
      <c r="K9" s="15">
        <f>K10+K18+K23+K28+K33+K38+K43+K49+K54+K61+K67+K72+K78+K81+K86</f>
        <v>71</v>
      </c>
      <c r="L9" s="15">
        <f>L10+L18+L23+L28+L33+L38+L43+L49+L54+L61+L67+L72+L78+L81+L86</f>
        <v>62</v>
      </c>
      <c r="M9" s="410">
        <f>'1. Показатели'!AD3</f>
        <v>1.0054579814641948</v>
      </c>
      <c r="N9" s="15">
        <f>N10+N18+N23+N28+N33+N38+N43+N49+N54+N61+N67+N72+N78+N81+N86</f>
        <v>1040</v>
      </c>
      <c r="O9" s="15">
        <f>O10+O18+O23+O28+O33+O38+O43+O49+O54+O61+O67+O72+O78+O81+O86</f>
        <v>863</v>
      </c>
      <c r="P9" s="15">
        <f>P10+P18+P23+P28+P33+P38+P43+P49+P54+P61+P67+P72+P78+P81+P86</f>
        <v>133</v>
      </c>
      <c r="Q9" s="15">
        <f>Q10+Q18+Q23+Q28+Q33+Q38+Q43+Q49+Q54+Q61+Q67+Q72+Q78+Q81+Q86</f>
        <v>44</v>
      </c>
      <c r="R9" s="411">
        <f t="shared" ref="R9:R40" si="1">(O9+0.5*P9)/N9</f>
        <v>0.89375000000000004</v>
      </c>
      <c r="S9" s="30">
        <f t="shared" ref="S9:S17" si="2">I9*$I$8+(M9-3%)*$M$8+R9*$R$8</f>
        <v>0.94057150891526264</v>
      </c>
      <c r="T9" s="115" t="str">
        <f t="shared" ref="T9:T17" si="3">IF(S9&gt;=97%,"Высокая",IF((S9&gt;=92%)*AND(S9&lt;97%),"Средняя",IF((S9&gt;=85%)*AND(S9&lt;92%),"Ниже среднего","Низкая")))</f>
        <v>Средняя</v>
      </c>
      <c r="V9" s="16">
        <f t="shared" ref="V9:V48" si="4">(O9+0.5*P9)/N9</f>
        <v>0.89375000000000004</v>
      </c>
      <c r="W9" s="116"/>
    </row>
    <row r="10" spans="1:27" ht="24" customHeight="1" collapsed="1" x14ac:dyDescent="0.25">
      <c r="A10" s="17">
        <v>1</v>
      </c>
      <c r="B10" s="183" t="s">
        <v>1000</v>
      </c>
      <c r="C10" s="105">
        <f>'1. Показатели'!R6</f>
        <v>57</v>
      </c>
      <c r="D10" s="105">
        <f>'1. Показатели'!S6</f>
        <v>9</v>
      </c>
      <c r="E10" s="105">
        <f>'1. Показатели'!T6</f>
        <v>1</v>
      </c>
      <c r="F10" s="105">
        <f>'1. Показатели'!U6</f>
        <v>43</v>
      </c>
      <c r="G10" s="105">
        <f>'1. Показатели'!V6</f>
        <v>0</v>
      </c>
      <c r="H10" s="105">
        <f>'1. Показатели'!W6</f>
        <v>4</v>
      </c>
      <c r="I10" s="18">
        <f>'1. Показатели'!H6</f>
        <v>0.97207763747507803</v>
      </c>
      <c r="J10" s="394">
        <f>'1. Показатели'!Z6</f>
        <v>16</v>
      </c>
      <c r="K10" s="394">
        <f>'1. Показатели'!AA6</f>
        <v>12</v>
      </c>
      <c r="L10" s="394">
        <f>'1. Показатели'!AB6</f>
        <v>7</v>
      </c>
      <c r="M10" s="18">
        <f>'1. Показатели'!I6</f>
        <v>1.0225370837417926</v>
      </c>
      <c r="N10" s="356">
        <f>'2.ПП'!G11</f>
        <v>125</v>
      </c>
      <c r="O10" s="356">
        <f>'2.ПП'!H11</f>
        <v>103</v>
      </c>
      <c r="P10" s="356">
        <f>'2.ПП'!I11</f>
        <v>19</v>
      </c>
      <c r="Q10" s="356">
        <f>'2.ПП'!J11</f>
        <v>3</v>
      </c>
      <c r="R10" s="369">
        <f t="shared" si="1"/>
        <v>0.9</v>
      </c>
      <c r="S10" s="30">
        <f t="shared" si="2"/>
        <v>0.95401127055215085</v>
      </c>
      <c r="T10" s="114" t="str">
        <f t="shared" si="3"/>
        <v>Средняя</v>
      </c>
      <c r="U10" s="20">
        <f t="shared" ref="U10:U36" si="5">I10*0.3+(M10-3%)*0.35+R10*0.35</f>
        <v>0.95401127055215085</v>
      </c>
      <c r="V10" s="4">
        <f t="shared" si="4"/>
        <v>0.9</v>
      </c>
      <c r="W10" s="116">
        <f t="shared" ref="W10:W36" si="6">I10-R10</f>
        <v>7.2077637475078005E-2</v>
      </c>
    </row>
    <row r="11" spans="1:27" ht="37.5" hidden="1" customHeight="1" outlineLevel="1" x14ac:dyDescent="0.25">
      <c r="A11" s="11" t="s">
        <v>46</v>
      </c>
      <c r="B11" s="200" t="s">
        <v>54</v>
      </c>
      <c r="C11" s="191">
        <f>'1. Показатели'!R16</f>
        <v>15</v>
      </c>
      <c r="D11" s="191">
        <f>'1. Показатели'!S16</f>
        <v>0</v>
      </c>
      <c r="E11" s="191">
        <f>'1. Показатели'!T16</f>
        <v>1</v>
      </c>
      <c r="F11" s="191">
        <f>'1. Показатели'!U16</f>
        <v>13</v>
      </c>
      <c r="G11" s="191">
        <f>'1. Показатели'!V16</f>
        <v>0</v>
      </c>
      <c r="H11" s="191">
        <f>'1. Показатели'!W16</f>
        <v>1</v>
      </c>
      <c r="I11" s="21">
        <f>'1. Показатели'!H16</f>
        <v>0.98056680161943321</v>
      </c>
      <c r="J11" s="22">
        <f>'1. Показатели'!Z16</f>
        <v>4</v>
      </c>
      <c r="K11" s="22">
        <f>'1. Показатели'!AA16</f>
        <v>1</v>
      </c>
      <c r="L11" s="22">
        <f>'1. Показатели'!AB16</f>
        <v>3</v>
      </c>
      <c r="M11" s="21">
        <f>'1. Показатели'!I16</f>
        <v>1.0310541862976477</v>
      </c>
      <c r="N11" s="22">
        <f>'2.ПП'!G15</f>
        <v>22</v>
      </c>
      <c r="O11" s="22">
        <f>'2.ПП'!H15</f>
        <v>15</v>
      </c>
      <c r="P11" s="22">
        <f>'2.ПП'!I15</f>
        <v>5</v>
      </c>
      <c r="Q11" s="22">
        <f>'2.ПП'!J15</f>
        <v>2</v>
      </c>
      <c r="R11" s="21">
        <f t="shared" si="1"/>
        <v>0.79545454545454541</v>
      </c>
      <c r="S11" s="201">
        <f t="shared" si="2"/>
        <v>0.92294809659909749</v>
      </c>
      <c r="T11" s="365" t="str">
        <f t="shared" si="3"/>
        <v>Средняя</v>
      </c>
      <c r="U11" s="20">
        <f t="shared" si="5"/>
        <v>0.92294809659909749</v>
      </c>
      <c r="V11" s="4">
        <f t="shared" si="4"/>
        <v>0.79545454545454541</v>
      </c>
      <c r="W11" s="116">
        <f t="shared" si="6"/>
        <v>0.1851122561648878</v>
      </c>
      <c r="X11" s="120"/>
      <c r="Y11" s="120"/>
      <c r="Z11" s="120"/>
      <c r="AA11" s="120"/>
    </row>
    <row r="12" spans="1:27" ht="72" hidden="1" customHeight="1" outlineLevel="1" x14ac:dyDescent="0.25">
      <c r="A12" s="11" t="s">
        <v>47</v>
      </c>
      <c r="B12" s="200" t="s">
        <v>935</v>
      </c>
      <c r="C12" s="191">
        <f>'1. Показатели'!R32</f>
        <v>10</v>
      </c>
      <c r="D12" s="191">
        <f>'1. Показатели'!S32</f>
        <v>0</v>
      </c>
      <c r="E12" s="191">
        <f>'1. Показатели'!T32</f>
        <v>0</v>
      </c>
      <c r="F12" s="191">
        <f>'1. Показатели'!U32</f>
        <v>10</v>
      </c>
      <c r="G12" s="191">
        <f>'1. Показатели'!V32</f>
        <v>0</v>
      </c>
      <c r="H12" s="191">
        <f>'1. Показатели'!W32</f>
        <v>0</v>
      </c>
      <c r="I12" s="21">
        <f>'1. Показатели'!H32</f>
        <v>1</v>
      </c>
      <c r="J12" s="22">
        <f>'1. Показатели'!Z32</f>
        <v>5</v>
      </c>
      <c r="K12" s="22">
        <f>'1. Показатели'!AA32</f>
        <v>4</v>
      </c>
      <c r="L12" s="22">
        <f>'1. Показатели'!AB32</f>
        <v>1</v>
      </c>
      <c r="M12" s="21">
        <f>'1. Показатели'!I32</f>
        <v>1.0304349475871697</v>
      </c>
      <c r="N12" s="22">
        <f>'2.ПП'!G19</f>
        <v>25</v>
      </c>
      <c r="O12" s="22">
        <f>'2.ПП'!H19</f>
        <v>21</v>
      </c>
      <c r="P12" s="22">
        <f>'2.ПП'!I19</f>
        <v>4</v>
      </c>
      <c r="Q12" s="22">
        <f>'2.ПП'!J19</f>
        <v>0</v>
      </c>
      <c r="R12" s="21">
        <f t="shared" si="1"/>
        <v>0.92</v>
      </c>
      <c r="S12" s="201">
        <f t="shared" si="2"/>
        <v>0.97215223165550935</v>
      </c>
      <c r="T12" s="365" t="str">
        <f t="shared" si="3"/>
        <v>Высокая</v>
      </c>
      <c r="U12" s="20">
        <f t="shared" si="5"/>
        <v>0.97215223165550935</v>
      </c>
      <c r="V12" s="4">
        <f t="shared" si="4"/>
        <v>0.92</v>
      </c>
      <c r="W12" s="116">
        <f t="shared" si="6"/>
        <v>7.999999999999996E-2</v>
      </c>
    </row>
    <row r="13" spans="1:27" hidden="1" outlineLevel="1" x14ac:dyDescent="0.25">
      <c r="A13" s="11" t="s">
        <v>48</v>
      </c>
      <c r="B13" s="200" t="s">
        <v>70</v>
      </c>
      <c r="C13" s="191">
        <f>'1. Показатели'!R43</f>
        <v>5</v>
      </c>
      <c r="D13" s="191">
        <f>'1. Показатели'!S43</f>
        <v>2</v>
      </c>
      <c r="E13" s="191">
        <f>'1. Показатели'!T43</f>
        <v>0</v>
      </c>
      <c r="F13" s="191">
        <f>'1. Показатели'!U43</f>
        <v>3</v>
      </c>
      <c r="G13" s="191">
        <f>'1. Показатели'!V43</f>
        <v>0</v>
      </c>
      <c r="H13" s="191">
        <f>'1. Показатели'!W43</f>
        <v>0</v>
      </c>
      <c r="I13" s="21">
        <f>'1. Показатели'!H43</f>
        <v>1</v>
      </c>
      <c r="J13" s="22">
        <f>'1. Показатели'!Z43</f>
        <v>1</v>
      </c>
      <c r="K13" s="22">
        <f>'1. Показатели'!AA43</f>
        <v>1</v>
      </c>
      <c r="L13" s="22">
        <f>'1. Показатели'!AB43</f>
        <v>0</v>
      </c>
      <c r="M13" s="21">
        <f>'1. Показатели'!I43</f>
        <v>1.0110777518985186</v>
      </c>
      <c r="N13" s="22">
        <f>'2.ПП'!G23</f>
        <v>3</v>
      </c>
      <c r="O13" s="22">
        <f>'2.ПП'!H23</f>
        <v>3</v>
      </c>
      <c r="P13" s="22">
        <f>'2.ПП'!I23</f>
        <v>0</v>
      </c>
      <c r="Q13" s="22">
        <f>'2.ПП'!J23</f>
        <v>0</v>
      </c>
      <c r="R13" s="21">
        <f t="shared" si="1"/>
        <v>1</v>
      </c>
      <c r="S13" s="201">
        <f t="shared" si="2"/>
        <v>0.99337721316448147</v>
      </c>
      <c r="T13" s="365" t="str">
        <f t="shared" si="3"/>
        <v>Высокая</v>
      </c>
      <c r="U13" s="20">
        <f t="shared" si="5"/>
        <v>0.99337721316448147</v>
      </c>
      <c r="V13" s="4">
        <f t="shared" si="4"/>
        <v>1</v>
      </c>
      <c r="W13" s="116">
        <f t="shared" si="6"/>
        <v>0</v>
      </c>
    </row>
    <row r="14" spans="1:27" ht="25.5" hidden="1" customHeight="1" outlineLevel="1" x14ac:dyDescent="0.25">
      <c r="A14" s="11" t="s">
        <v>49</v>
      </c>
      <c r="B14" s="200" t="s">
        <v>75</v>
      </c>
      <c r="C14" s="191">
        <f>'1. Показатели'!R49</f>
        <v>6</v>
      </c>
      <c r="D14" s="191">
        <f>'1. Показатели'!S49</f>
        <v>0</v>
      </c>
      <c r="E14" s="191">
        <f>'1. Показатели'!T49</f>
        <v>0</v>
      </c>
      <c r="F14" s="191">
        <f>'1. Показатели'!U49</f>
        <v>4</v>
      </c>
      <c r="G14" s="191">
        <f>'1. Показатели'!V49</f>
        <v>0</v>
      </c>
      <c r="H14" s="191">
        <f>'1. Показатели'!W49</f>
        <v>2</v>
      </c>
      <c r="I14" s="21">
        <f>'1. Показатели'!H49</f>
        <v>0.86111111111111105</v>
      </c>
      <c r="J14" s="22">
        <f>'1. Показатели'!Z49</f>
        <v>0</v>
      </c>
      <c r="K14" s="22">
        <f>'1. Показатели'!AA49</f>
        <v>1</v>
      </c>
      <c r="L14" s="22">
        <f>'1. Показатели'!AB49</f>
        <v>0</v>
      </c>
      <c r="M14" s="21">
        <f>'1. Показатели'!I49</f>
        <v>1.0081743869209809</v>
      </c>
      <c r="N14" s="22">
        <f>'2.ПП'!G26</f>
        <v>22</v>
      </c>
      <c r="O14" s="22">
        <f>'2.ПП'!H26</f>
        <v>14</v>
      </c>
      <c r="P14" s="22">
        <f>'2.ПП'!I26</f>
        <v>7</v>
      </c>
      <c r="Q14" s="22">
        <f>'2.ПП'!J26</f>
        <v>1</v>
      </c>
      <c r="R14" s="21">
        <f t="shared" si="1"/>
        <v>0.79545454545454541</v>
      </c>
      <c r="S14" s="201">
        <f t="shared" si="2"/>
        <v>0.87910345966476755</v>
      </c>
      <c r="T14" s="365" t="str">
        <f t="shared" si="3"/>
        <v>Ниже среднего</v>
      </c>
      <c r="U14" s="20">
        <f t="shared" si="5"/>
        <v>0.87910345966476755</v>
      </c>
      <c r="V14" s="4">
        <f t="shared" si="4"/>
        <v>0.79545454545454541</v>
      </c>
      <c r="W14" s="117">
        <f t="shared" si="6"/>
        <v>6.5656565656565635E-2</v>
      </c>
    </row>
    <row r="15" spans="1:27" ht="27" hidden="1" customHeight="1" outlineLevel="1" x14ac:dyDescent="0.25">
      <c r="A15" s="11" t="s">
        <v>50</v>
      </c>
      <c r="B15" s="200" t="s">
        <v>82</v>
      </c>
      <c r="C15" s="191">
        <f>'1. Показатели'!R56</f>
        <v>6</v>
      </c>
      <c r="D15" s="191">
        <f>'1. Показатели'!S56</f>
        <v>0</v>
      </c>
      <c r="E15" s="191">
        <f>'1. Показатели'!T56</f>
        <v>0</v>
      </c>
      <c r="F15" s="191">
        <f>'1. Показатели'!U56</f>
        <v>5</v>
      </c>
      <c r="G15" s="191">
        <f>'1. Показатели'!V56</f>
        <v>0</v>
      </c>
      <c r="H15" s="191">
        <f>'1. Показатели'!W56</f>
        <v>1</v>
      </c>
      <c r="I15" s="21">
        <f>'1. Показатели'!H56</f>
        <v>0.96409298464092996</v>
      </c>
      <c r="J15" s="22">
        <f>'1. Показатели'!Z56</f>
        <v>5</v>
      </c>
      <c r="K15" s="22">
        <f>'1. Показатели'!AA56</f>
        <v>1</v>
      </c>
      <c r="L15" s="22">
        <f>'1. Показатели'!AB56</f>
        <v>0</v>
      </c>
      <c r="M15" s="21">
        <f>'1. Показатели'!I56</f>
        <v>1.0807061628566283</v>
      </c>
      <c r="N15" s="22">
        <f>'2.ПП'!G29</f>
        <v>21</v>
      </c>
      <c r="O15" s="22">
        <f>'2.ПП'!H29</f>
        <v>18</v>
      </c>
      <c r="P15" s="22">
        <f>'2.ПП'!I29</f>
        <v>3</v>
      </c>
      <c r="Q15" s="22">
        <f>'2.ПП'!J29</f>
        <v>0</v>
      </c>
      <c r="R15" s="21">
        <f t="shared" si="1"/>
        <v>0.9285714285714286</v>
      </c>
      <c r="S15" s="201">
        <f t="shared" si="2"/>
        <v>0.98197505239209892</v>
      </c>
      <c r="T15" s="365" t="str">
        <f t="shared" si="3"/>
        <v>Высокая</v>
      </c>
      <c r="U15" s="20">
        <f t="shared" si="5"/>
        <v>0.98197505239209892</v>
      </c>
      <c r="V15" s="4">
        <f t="shared" si="4"/>
        <v>0.9285714285714286</v>
      </c>
      <c r="W15" s="116">
        <f t="shared" si="6"/>
        <v>3.5521556069501359E-2</v>
      </c>
    </row>
    <row r="16" spans="1:27" ht="24" hidden="1" customHeight="1" outlineLevel="1" x14ac:dyDescent="0.25">
      <c r="A16" s="11" t="s">
        <v>51</v>
      </c>
      <c r="B16" s="200" t="s">
        <v>85</v>
      </c>
      <c r="C16" s="191">
        <f>'1. Показатели'!R63</f>
        <v>4</v>
      </c>
      <c r="D16" s="191">
        <f>'1. Показатели'!S63</f>
        <v>0</v>
      </c>
      <c r="E16" s="191">
        <f>'1. Показатели'!T63</f>
        <v>0</v>
      </c>
      <c r="F16" s="191">
        <f>'1. Показатели'!U63</f>
        <v>4</v>
      </c>
      <c r="G16" s="191">
        <f>'1. Показатели'!V63</f>
        <v>0</v>
      </c>
      <c r="H16" s="191">
        <f>'1. Показатели'!W63</f>
        <v>0</v>
      </c>
      <c r="I16" s="21">
        <f>'1. Показатели'!H63</f>
        <v>1</v>
      </c>
      <c r="J16" s="22">
        <f>'1. Показатели'!Z63</f>
        <v>0</v>
      </c>
      <c r="K16" s="22">
        <f>'1. Показатели'!AA63</f>
        <v>4</v>
      </c>
      <c r="L16" s="22">
        <f>'1. Показатели'!AB63</f>
        <v>0</v>
      </c>
      <c r="M16" s="21">
        <f>'1. Показатели'!I63</f>
        <v>1</v>
      </c>
      <c r="N16" s="22">
        <f>'2.ПП'!G32</f>
        <v>15</v>
      </c>
      <c r="O16" s="22">
        <f>'2.ПП'!H32</f>
        <v>15</v>
      </c>
      <c r="P16" s="22">
        <f>'2.ПП'!I32</f>
        <v>0</v>
      </c>
      <c r="Q16" s="22">
        <f>'2.ПП'!J32</f>
        <v>0</v>
      </c>
      <c r="R16" s="21">
        <f t="shared" si="1"/>
        <v>1</v>
      </c>
      <c r="S16" s="201">
        <f t="shared" si="2"/>
        <v>0.98949999999999994</v>
      </c>
      <c r="T16" s="365" t="str">
        <f t="shared" si="3"/>
        <v>Высокая</v>
      </c>
      <c r="U16" s="20">
        <f t="shared" si="5"/>
        <v>0.98949999999999994</v>
      </c>
      <c r="V16" s="4">
        <f t="shared" si="4"/>
        <v>1</v>
      </c>
      <c r="W16" s="116">
        <f t="shared" si="6"/>
        <v>0</v>
      </c>
    </row>
    <row r="17" spans="1:27" ht="46.5" hidden="1" customHeight="1" outlineLevel="1" x14ac:dyDescent="0.25">
      <c r="A17" s="11" t="s">
        <v>258</v>
      </c>
      <c r="B17" s="200" t="s">
        <v>936</v>
      </c>
      <c r="C17" s="191">
        <f>'1. Показатели'!R68</f>
        <v>2</v>
      </c>
      <c r="D17" s="191">
        <f>'1. Показатели'!S68</f>
        <v>0</v>
      </c>
      <c r="E17" s="191">
        <f>'1. Показатели'!T68</f>
        <v>0</v>
      </c>
      <c r="F17" s="191">
        <f>'1. Показатели'!U68</f>
        <v>2</v>
      </c>
      <c r="G17" s="191">
        <f>'1. Показатели'!V68</f>
        <v>0</v>
      </c>
      <c r="H17" s="191">
        <f>'1. Показатели'!W68</f>
        <v>0</v>
      </c>
      <c r="I17" s="21">
        <f>'1. Показатели'!H68</f>
        <v>1</v>
      </c>
      <c r="J17" s="191">
        <f>'1. Показатели'!Z68</f>
        <v>0</v>
      </c>
      <c r="K17" s="191">
        <f>'1. Показатели'!AA68</f>
        <v>0</v>
      </c>
      <c r="L17" s="191">
        <f>'1. Показатели'!AB68</f>
        <v>2</v>
      </c>
      <c r="M17" s="21">
        <f>'1. Показатели'!I68</f>
        <v>0.83991498505231688</v>
      </c>
      <c r="N17" s="22">
        <f>'2.ПП'!G35</f>
        <v>17</v>
      </c>
      <c r="O17" s="22">
        <f>'2.ПП'!H35</f>
        <v>17</v>
      </c>
      <c r="P17" s="22">
        <f>'2.ПП'!I35</f>
        <v>0</v>
      </c>
      <c r="Q17" s="22">
        <f>'2.ПП'!J35</f>
        <v>0</v>
      </c>
      <c r="R17" s="21">
        <f t="shared" si="1"/>
        <v>1</v>
      </c>
      <c r="S17" s="201">
        <f t="shared" si="2"/>
        <v>0.93347024476831086</v>
      </c>
      <c r="T17" s="365" t="str">
        <f t="shared" si="3"/>
        <v>Средняя</v>
      </c>
      <c r="U17" s="20">
        <f t="shared" si="5"/>
        <v>0.93347024476831086</v>
      </c>
      <c r="V17" s="4">
        <f t="shared" si="4"/>
        <v>1</v>
      </c>
      <c r="W17" s="116">
        <f t="shared" si="6"/>
        <v>0</v>
      </c>
    </row>
    <row r="18" spans="1:27" ht="24" customHeight="1" collapsed="1" x14ac:dyDescent="0.25">
      <c r="A18" s="17">
        <v>2</v>
      </c>
      <c r="B18" s="183" t="s">
        <v>1001</v>
      </c>
      <c r="C18" s="109">
        <f>'1. Показатели'!R71</f>
        <v>36</v>
      </c>
      <c r="D18" s="355">
        <f>'1. Показатели'!S71</f>
        <v>2</v>
      </c>
      <c r="E18" s="355">
        <f>'1. Показатели'!T71</f>
        <v>4</v>
      </c>
      <c r="F18" s="355">
        <f>'1. Показатели'!U71</f>
        <v>26</v>
      </c>
      <c r="G18" s="355">
        <f>'1. Показатели'!V71</f>
        <v>4</v>
      </c>
      <c r="H18" s="355">
        <f>'1. Показатели'!W71</f>
        <v>0</v>
      </c>
      <c r="I18" s="18">
        <f>'1. Показатели'!H71</f>
        <v>0.99607785039941898</v>
      </c>
      <c r="J18" s="356">
        <f>'1. Показатели'!Z71</f>
        <v>14</v>
      </c>
      <c r="K18" s="356">
        <f>'1. Показатели'!AA71</f>
        <v>5</v>
      </c>
      <c r="L18" s="356">
        <f>'1. Показатели'!AB71</f>
        <v>6</v>
      </c>
      <c r="M18" s="18">
        <f>'1. Показатели'!I71</f>
        <v>1.0172627982538405</v>
      </c>
      <c r="N18" s="356">
        <f>'2.ПП'!G38</f>
        <v>110</v>
      </c>
      <c r="O18" s="356">
        <f>'2.ПП'!H38</f>
        <v>97</v>
      </c>
      <c r="P18" s="356">
        <f>'2.ПП'!I38</f>
        <v>12</v>
      </c>
      <c r="Q18" s="356">
        <f>'2.ПП'!J38</f>
        <v>1</v>
      </c>
      <c r="R18" s="30">
        <f t="shared" si="1"/>
        <v>0.9363636363636364</v>
      </c>
      <c r="S18" s="18">
        <f t="shared" ref="S18:S26" si="7">I18*$I$8+(M18-3%)*$M$8+R18*$R$8</f>
        <v>0.97209260723594237</v>
      </c>
      <c r="T18" s="25" t="str">
        <f t="shared" ref="T18:T26" si="8">IF(S18&gt;=97%,"Высокая",IF((S18&gt;=92%)*AND(S18&lt;97%),"Средняя",IF((S18&gt;=85%)*AND(S18&lt;92%),"Ниже среднего","Низкая")))</f>
        <v>Высокая</v>
      </c>
      <c r="U18" s="20">
        <f t="shared" si="5"/>
        <v>0.97209260723594237</v>
      </c>
      <c r="V18" s="4">
        <f t="shared" si="4"/>
        <v>0.9363636363636364</v>
      </c>
      <c r="W18" s="116">
        <f t="shared" si="6"/>
        <v>5.9714214035782587E-2</v>
      </c>
      <c r="X18" s="120"/>
      <c r="Y18" s="120"/>
      <c r="Z18" s="120"/>
      <c r="AA18" s="120"/>
    </row>
    <row r="19" spans="1:27" ht="24" hidden="1" customHeight="1" outlineLevel="1" x14ac:dyDescent="0.25">
      <c r="A19" s="132" t="s">
        <v>87</v>
      </c>
      <c r="B19" s="200" t="s">
        <v>188</v>
      </c>
      <c r="C19" s="191">
        <f>'1. Показатели'!R81</f>
        <v>9</v>
      </c>
      <c r="D19" s="191">
        <f>'1. Показатели'!S81</f>
        <v>0</v>
      </c>
      <c r="E19" s="191">
        <f>'1. Показатели'!T81</f>
        <v>1</v>
      </c>
      <c r="F19" s="191">
        <f>'1. Показатели'!U81</f>
        <v>8</v>
      </c>
      <c r="G19" s="191">
        <f>'1. Показатели'!V81</f>
        <v>0</v>
      </c>
      <c r="H19" s="191">
        <f>'1. Показатели'!W81</f>
        <v>0</v>
      </c>
      <c r="I19" s="21">
        <f>'1. Показатели'!H81</f>
        <v>1</v>
      </c>
      <c r="J19" s="22">
        <f>'1. Показатели'!Z81</f>
        <v>4</v>
      </c>
      <c r="K19" s="22">
        <f>'1. Показатели'!AA81</f>
        <v>0</v>
      </c>
      <c r="L19" s="22">
        <f>'1. Показатели'!AB81</f>
        <v>2</v>
      </c>
      <c r="M19" s="21">
        <f>'1. Показатели'!I81</f>
        <v>0.94528789260692814</v>
      </c>
      <c r="N19" s="22">
        <f>'2.ПП'!G42</f>
        <v>20</v>
      </c>
      <c r="O19" s="22">
        <f>'2.ПП'!H42</f>
        <v>20</v>
      </c>
      <c r="P19" s="22">
        <f>'2.ПП'!I42</f>
        <v>0</v>
      </c>
      <c r="Q19" s="22">
        <f>'2.ПП'!J42</f>
        <v>0</v>
      </c>
      <c r="R19" s="21">
        <f t="shared" si="1"/>
        <v>1</v>
      </c>
      <c r="S19" s="201">
        <f t="shared" si="7"/>
        <v>0.97035076241242479</v>
      </c>
      <c r="T19" s="393" t="str">
        <f t="shared" si="8"/>
        <v>Высокая</v>
      </c>
      <c r="U19" s="20">
        <f t="shared" si="5"/>
        <v>0.97035076241242479</v>
      </c>
      <c r="V19" s="4">
        <f t="shared" si="4"/>
        <v>1</v>
      </c>
      <c r="W19" s="116">
        <f t="shared" si="6"/>
        <v>0</v>
      </c>
    </row>
    <row r="20" spans="1:27" ht="27" hidden="1" customHeight="1" outlineLevel="1" x14ac:dyDescent="0.25">
      <c r="A20" s="132" t="s">
        <v>95</v>
      </c>
      <c r="B20" s="200" t="s">
        <v>1087</v>
      </c>
      <c r="C20" s="191">
        <f>'1. Показатели'!R91</f>
        <v>8</v>
      </c>
      <c r="D20" s="191">
        <f>'1. Показатели'!S91</f>
        <v>0</v>
      </c>
      <c r="E20" s="191">
        <f>'1. Показатели'!T91</f>
        <v>0</v>
      </c>
      <c r="F20" s="191">
        <f>'1. Показатели'!U91</f>
        <v>6</v>
      </c>
      <c r="G20" s="191">
        <f>'1. Показатели'!V91</f>
        <v>2</v>
      </c>
      <c r="H20" s="191">
        <f>'1. Показатели'!W91</f>
        <v>0</v>
      </c>
      <c r="I20" s="21">
        <f>'1. Показатели'!H91</f>
        <v>0.99354999999999993</v>
      </c>
      <c r="J20" s="22">
        <f>'1. Показатели'!Z91</f>
        <v>3</v>
      </c>
      <c r="K20" s="22">
        <f>'1. Показатели'!AA91</f>
        <v>1</v>
      </c>
      <c r="L20" s="22">
        <f>'1. Показатели'!AB91</f>
        <v>1</v>
      </c>
      <c r="M20" s="21">
        <f>'1. Показатели'!I91</f>
        <v>1.0785170772092734</v>
      </c>
      <c r="N20" s="22">
        <f>'2.ПП'!G45</f>
        <v>48</v>
      </c>
      <c r="O20" s="22">
        <f>'2.ПП'!H45</f>
        <v>41</v>
      </c>
      <c r="P20" s="22">
        <f>'2.ПП'!I45</f>
        <v>7</v>
      </c>
      <c r="Q20" s="22">
        <f>'2.ПП'!J45</f>
        <v>0</v>
      </c>
      <c r="R20" s="21">
        <f t="shared" si="1"/>
        <v>0.92708333333333337</v>
      </c>
      <c r="S20" s="201">
        <f t="shared" si="7"/>
        <v>0.98952514368991229</v>
      </c>
      <c r="T20" s="393" t="str">
        <f t="shared" si="8"/>
        <v>Высокая</v>
      </c>
      <c r="U20" s="20">
        <f t="shared" si="5"/>
        <v>0.98952514368991229</v>
      </c>
      <c r="V20" s="4">
        <f t="shared" si="4"/>
        <v>0.92708333333333337</v>
      </c>
      <c r="W20" s="117">
        <f t="shared" si="6"/>
        <v>6.6466666666666563E-2</v>
      </c>
    </row>
    <row r="21" spans="1:27" ht="24.75" hidden="1" customHeight="1" outlineLevel="1" x14ac:dyDescent="0.25">
      <c r="A21" s="132" t="s">
        <v>99</v>
      </c>
      <c r="B21" s="200" t="s">
        <v>1088</v>
      </c>
      <c r="C21" s="191">
        <f>'1. Показатели'!R100</f>
        <v>8</v>
      </c>
      <c r="D21" s="191">
        <f>'1. Показатели'!S100</f>
        <v>0</v>
      </c>
      <c r="E21" s="191">
        <f>'1. Показатели'!T100</f>
        <v>1</v>
      </c>
      <c r="F21" s="191">
        <f>'1. Показатели'!U100</f>
        <v>5</v>
      </c>
      <c r="G21" s="191">
        <f>'1. Показатели'!V100</f>
        <v>2</v>
      </c>
      <c r="H21" s="191">
        <f>'1. Показатели'!W100</f>
        <v>0</v>
      </c>
      <c r="I21" s="21">
        <f>'1. Показатели'!H100</f>
        <v>0.98978086419753086</v>
      </c>
      <c r="J21" s="22">
        <f>'1. Показатели'!Z100</f>
        <v>5</v>
      </c>
      <c r="K21" s="22">
        <f>'1. Показатели'!AA100</f>
        <v>1</v>
      </c>
      <c r="L21" s="22">
        <f>'1. Показатели'!AB100</f>
        <v>1</v>
      </c>
      <c r="M21" s="21">
        <f>'1. Показатели'!I100</f>
        <v>1.0510028143256867</v>
      </c>
      <c r="N21" s="22">
        <f>'2.ПП'!G49</f>
        <v>20</v>
      </c>
      <c r="O21" s="22">
        <f>'2.ПП'!H49</f>
        <v>19</v>
      </c>
      <c r="P21" s="22">
        <f>'2.ПП'!I49</f>
        <v>1</v>
      </c>
      <c r="Q21" s="22">
        <f>'2.ПП'!J49</f>
        <v>0</v>
      </c>
      <c r="R21" s="21">
        <f t="shared" si="1"/>
        <v>0.97499999999999998</v>
      </c>
      <c r="S21" s="201">
        <f t="shared" si="7"/>
        <v>0.99553524427324969</v>
      </c>
      <c r="T21" s="393" t="str">
        <f t="shared" si="8"/>
        <v>Высокая</v>
      </c>
      <c r="U21" s="20">
        <f t="shared" si="5"/>
        <v>0.99553524427324969</v>
      </c>
      <c r="V21" s="4">
        <f t="shared" si="4"/>
        <v>0.97499999999999998</v>
      </c>
      <c r="W21" s="116">
        <f t="shared" si="6"/>
        <v>1.4780864197530885E-2</v>
      </c>
    </row>
    <row r="22" spans="1:27" ht="26.25" hidden="1" customHeight="1" outlineLevel="1" x14ac:dyDescent="0.25">
      <c r="A22" s="132" t="s">
        <v>184</v>
      </c>
      <c r="B22" s="200" t="s">
        <v>1089</v>
      </c>
      <c r="C22" s="206">
        <f>'1. Показатели'!R109</f>
        <v>2</v>
      </c>
      <c r="D22" s="206">
        <f>'1. Показатели'!S109</f>
        <v>2</v>
      </c>
      <c r="E22" s="206">
        <f>'1. Показатели'!T109</f>
        <v>0</v>
      </c>
      <c r="F22" s="206">
        <f>'1. Показатели'!U109</f>
        <v>0</v>
      </c>
      <c r="G22" s="206">
        <f>'1. Показатели'!V109</f>
        <v>0</v>
      </c>
      <c r="H22" s="206">
        <f>'1. Показатели'!W109</f>
        <v>0</v>
      </c>
      <c r="I22" s="21" t="str">
        <f>'1. Показатели'!H109</f>
        <v>-</v>
      </c>
      <c r="J22" s="206">
        <f>'1. Показатели'!Z109</f>
        <v>0</v>
      </c>
      <c r="K22" s="206">
        <f>'1. Показатели'!AA109</f>
        <v>0</v>
      </c>
      <c r="L22" s="206">
        <f>'1. Показатели'!AB109</f>
        <v>0</v>
      </c>
      <c r="M22" s="21">
        <f>'1. Показатели'!I109</f>
        <v>1</v>
      </c>
      <c r="N22" s="22">
        <f>'2.ПП'!G52</f>
        <v>22</v>
      </c>
      <c r="O22" s="22">
        <f>'2.ПП'!H52</f>
        <v>17</v>
      </c>
      <c r="P22" s="22">
        <f>'2.ПП'!I52</f>
        <v>4</v>
      </c>
      <c r="Q22" s="22">
        <f>'2.ПП'!J52</f>
        <v>1</v>
      </c>
      <c r="R22" s="21">
        <f t="shared" si="1"/>
        <v>0.86363636363636365</v>
      </c>
      <c r="S22" s="201" t="s">
        <v>41</v>
      </c>
      <c r="T22" s="393" t="s">
        <v>41</v>
      </c>
      <c r="U22" s="20" t="e">
        <f t="shared" si="5"/>
        <v>#VALUE!</v>
      </c>
      <c r="V22" s="4">
        <f t="shared" si="4"/>
        <v>0.86363636363636365</v>
      </c>
      <c r="W22" s="116" t="e">
        <f t="shared" si="6"/>
        <v>#VALUE!</v>
      </c>
    </row>
    <row r="23" spans="1:27" ht="31.5" customHeight="1" collapsed="1" x14ac:dyDescent="0.25">
      <c r="A23" s="17" t="s">
        <v>259</v>
      </c>
      <c r="B23" s="183" t="s">
        <v>1025</v>
      </c>
      <c r="C23" s="355">
        <f>'1. Показатели'!R112</f>
        <v>26</v>
      </c>
      <c r="D23" s="355">
        <f>'1. Показатели'!S112</f>
        <v>3</v>
      </c>
      <c r="E23" s="355">
        <f>'1. Показатели'!T112</f>
        <v>2</v>
      </c>
      <c r="F23" s="355">
        <f>'1. Показатели'!U112</f>
        <v>19</v>
      </c>
      <c r="G23" s="355">
        <f>'1. Показатели'!V112</f>
        <v>1</v>
      </c>
      <c r="H23" s="355">
        <f>'1. Показатели'!W112</f>
        <v>1</v>
      </c>
      <c r="I23" s="18">
        <f>'1. Показатели'!H112</f>
        <v>0.98459357277882797</v>
      </c>
      <c r="J23" s="356">
        <f>'1. Показатели'!Z112</f>
        <v>9</v>
      </c>
      <c r="K23" s="356">
        <f>'1. Показатели'!AA112</f>
        <v>7</v>
      </c>
      <c r="L23" s="356">
        <f>'1. Показатели'!AB112</f>
        <v>2</v>
      </c>
      <c r="M23" s="18">
        <f>'1. Показатели'!I112</f>
        <v>1.0554462583686168</v>
      </c>
      <c r="N23" s="370">
        <f>'2.ПП'!G56</f>
        <v>167</v>
      </c>
      <c r="O23" s="370">
        <f>'2.ПП'!H56</f>
        <v>141</v>
      </c>
      <c r="P23" s="370">
        <f>'2.ПП'!I56</f>
        <v>20</v>
      </c>
      <c r="Q23" s="370">
        <f>'2.ПП'!J56</f>
        <v>6</v>
      </c>
      <c r="R23" s="369">
        <f t="shared" si="1"/>
        <v>0.90419161676646709</v>
      </c>
      <c r="S23" s="18">
        <f t="shared" si="7"/>
        <v>0.97075132813092768</v>
      </c>
      <c r="T23" s="343" t="str">
        <f t="shared" si="8"/>
        <v>Высокая</v>
      </c>
      <c r="U23" s="20">
        <f t="shared" si="5"/>
        <v>0.97075132813092768</v>
      </c>
      <c r="V23" s="4">
        <f t="shared" si="4"/>
        <v>0.90419161676646709</v>
      </c>
      <c r="W23" s="117">
        <f t="shared" si="6"/>
        <v>8.0401956012360887E-2</v>
      </c>
    </row>
    <row r="24" spans="1:27" ht="34.5" hidden="1" customHeight="1" outlineLevel="1" x14ac:dyDescent="0.25">
      <c r="A24" s="132" t="s">
        <v>102</v>
      </c>
      <c r="B24" s="200" t="s">
        <v>937</v>
      </c>
      <c r="C24" s="106">
        <f>'1. Показатели'!R118</f>
        <v>5</v>
      </c>
      <c r="D24" s="106">
        <f>'1. Показатели'!S118</f>
        <v>1</v>
      </c>
      <c r="E24" s="106">
        <f>'1. Показатели'!T118</f>
        <v>0</v>
      </c>
      <c r="F24" s="106">
        <f>'1. Показатели'!U118</f>
        <v>4</v>
      </c>
      <c r="G24" s="106">
        <f>'1. Показатели'!V118</f>
        <v>0</v>
      </c>
      <c r="H24" s="106">
        <f>'1. Показатели'!W118</f>
        <v>0</v>
      </c>
      <c r="I24" s="107">
        <f>'1. Показатели'!H118</f>
        <v>1</v>
      </c>
      <c r="J24" s="108">
        <f>'1. Показатели'!Z118</f>
        <v>1</v>
      </c>
      <c r="K24" s="108">
        <f>'1. Показатели'!AA118</f>
        <v>2</v>
      </c>
      <c r="L24" s="108">
        <f>'1. Показатели'!AB118</f>
        <v>0</v>
      </c>
      <c r="M24" s="21">
        <f>'1. Показатели'!I118</f>
        <v>1.0079212454212454</v>
      </c>
      <c r="N24" s="22">
        <f>'2.ПП'!G60</f>
        <v>17</v>
      </c>
      <c r="O24" s="22">
        <f>'2.ПП'!H60</f>
        <v>12</v>
      </c>
      <c r="P24" s="22">
        <f>'2.ПП'!I60</f>
        <v>2</v>
      </c>
      <c r="Q24" s="22">
        <f>'2.ПП'!J60</f>
        <v>3</v>
      </c>
      <c r="R24" s="21">
        <f t="shared" si="1"/>
        <v>0.76470588235294112</v>
      </c>
      <c r="S24" s="201">
        <f t="shared" si="7"/>
        <v>0.90991949472096523</v>
      </c>
      <c r="T24" s="21" t="str">
        <f t="shared" si="8"/>
        <v>Ниже среднего</v>
      </c>
      <c r="U24" s="20">
        <f t="shared" si="5"/>
        <v>0.90991949472096523</v>
      </c>
      <c r="V24" s="4">
        <f t="shared" si="4"/>
        <v>0.76470588235294112</v>
      </c>
      <c r="W24" s="117">
        <f t="shared" si="6"/>
        <v>0.23529411764705888</v>
      </c>
    </row>
    <row r="25" spans="1:27" ht="38.25" hidden="1" customHeight="1" outlineLevel="1" x14ac:dyDescent="0.25">
      <c r="A25" s="132" t="s">
        <v>107</v>
      </c>
      <c r="B25" s="200" t="s">
        <v>190</v>
      </c>
      <c r="C25" s="106">
        <f>'1. Показатели'!R124</f>
        <v>11</v>
      </c>
      <c r="D25" s="106">
        <f>'1. Показатели'!S124</f>
        <v>0</v>
      </c>
      <c r="E25" s="106">
        <f>'1. Показатели'!T124</f>
        <v>0</v>
      </c>
      <c r="F25" s="106">
        <f>'1. Показатели'!U124</f>
        <v>10</v>
      </c>
      <c r="G25" s="106">
        <f>'1. Показатели'!V124</f>
        <v>1</v>
      </c>
      <c r="H25" s="106">
        <f>'1. Показатели'!W124</f>
        <v>0</v>
      </c>
      <c r="I25" s="107">
        <f>'1. Показатели'!H124</f>
        <v>0.99505928853754932</v>
      </c>
      <c r="J25" s="108">
        <f>'1. Показатели'!Z124</f>
        <v>4</v>
      </c>
      <c r="K25" s="108">
        <f>'1. Показатели'!AA124</f>
        <v>3</v>
      </c>
      <c r="L25" s="108">
        <f>'1. Показатели'!AB124</f>
        <v>1</v>
      </c>
      <c r="M25" s="107">
        <f>'1. Показатели'!I124</f>
        <v>1.0602551294862332</v>
      </c>
      <c r="N25" s="22">
        <f>'2.ПП'!G63</f>
        <v>132</v>
      </c>
      <c r="O25" s="22">
        <f>'2.ПП'!H63</f>
        <v>116</v>
      </c>
      <c r="P25" s="22">
        <f>'2.ПП'!I63</f>
        <v>13</v>
      </c>
      <c r="Q25" s="22">
        <f>'2.ПП'!J63</f>
        <v>3</v>
      </c>
      <c r="R25" s="21">
        <f t="shared" si="1"/>
        <v>0.92803030303030298</v>
      </c>
      <c r="S25" s="201">
        <f t="shared" si="7"/>
        <v>0.98391768794205237</v>
      </c>
      <c r="T25" s="21" t="str">
        <f t="shared" si="8"/>
        <v>Высокая</v>
      </c>
      <c r="U25" s="20">
        <f t="shared" si="5"/>
        <v>0.98391768794205237</v>
      </c>
      <c r="V25" s="4">
        <f t="shared" si="4"/>
        <v>0.92803030303030298</v>
      </c>
      <c r="W25" s="117">
        <f t="shared" si="6"/>
        <v>6.7028985507246341E-2</v>
      </c>
    </row>
    <row r="26" spans="1:27" ht="43.5" hidden="1" customHeight="1" outlineLevel="1" x14ac:dyDescent="0.25">
      <c r="A26" s="132" t="s">
        <v>116</v>
      </c>
      <c r="B26" s="199" t="s">
        <v>938</v>
      </c>
      <c r="C26" s="106">
        <f>'1. Показатели'!R136</f>
        <v>5</v>
      </c>
      <c r="D26" s="106">
        <f>'1. Показатели'!S136</f>
        <v>0</v>
      </c>
      <c r="E26" s="106">
        <f>'1. Показатели'!T136</f>
        <v>1</v>
      </c>
      <c r="F26" s="106">
        <f>'1. Показатели'!U136</f>
        <v>3</v>
      </c>
      <c r="G26" s="106">
        <f>'1. Показатели'!V136</f>
        <v>0</v>
      </c>
      <c r="H26" s="106">
        <f>'1. Показатели'!W136</f>
        <v>1</v>
      </c>
      <c r="I26" s="107">
        <f>'1. Показатели'!H136</f>
        <v>0.94000000000000006</v>
      </c>
      <c r="J26" s="108">
        <f>'1. Показатели'!Z136</f>
        <v>3</v>
      </c>
      <c r="K26" s="108">
        <f>'1. Показатели'!AA136</f>
        <v>0</v>
      </c>
      <c r="L26" s="108">
        <f>'1. Показатели'!AB136</f>
        <v>1</v>
      </c>
      <c r="M26" s="107">
        <f>'1. Показатели'!I136</f>
        <v>1.0852498920248626</v>
      </c>
      <c r="N26" s="22">
        <f>'2.ПП'!G67</f>
        <v>15</v>
      </c>
      <c r="O26" s="22">
        <f>'2.ПП'!H67</f>
        <v>10</v>
      </c>
      <c r="P26" s="22">
        <f>'2.ПП'!I67</f>
        <v>5</v>
      </c>
      <c r="Q26" s="22">
        <f>'2.ПП'!J67</f>
        <v>0</v>
      </c>
      <c r="R26" s="21">
        <f t="shared" si="1"/>
        <v>0.83333333333333337</v>
      </c>
      <c r="S26" s="201">
        <f t="shared" si="7"/>
        <v>0.94300412887536855</v>
      </c>
      <c r="T26" s="21" t="str">
        <f t="shared" si="8"/>
        <v>Средняя</v>
      </c>
      <c r="U26" s="20">
        <f t="shared" si="5"/>
        <v>0.94300412887536855</v>
      </c>
      <c r="V26" s="4">
        <f t="shared" si="4"/>
        <v>0.83333333333333337</v>
      </c>
      <c r="W26" s="117">
        <f t="shared" si="6"/>
        <v>0.10666666666666669</v>
      </c>
    </row>
    <row r="27" spans="1:27" ht="22.5" hidden="1" outlineLevel="1" x14ac:dyDescent="0.25">
      <c r="A27" s="132" t="s">
        <v>236</v>
      </c>
      <c r="B27" s="200" t="s">
        <v>189</v>
      </c>
      <c r="C27" s="107" t="s">
        <v>41</v>
      </c>
      <c r="D27" s="107" t="s">
        <v>41</v>
      </c>
      <c r="E27" s="107" t="s">
        <v>41</v>
      </c>
      <c r="F27" s="107" t="s">
        <v>41</v>
      </c>
      <c r="G27" s="107" t="s">
        <v>41</v>
      </c>
      <c r="H27" s="107" t="s">
        <v>41</v>
      </c>
      <c r="I27" s="107" t="s">
        <v>41</v>
      </c>
      <c r="J27" s="107" t="s">
        <v>41</v>
      </c>
      <c r="K27" s="107" t="s">
        <v>41</v>
      </c>
      <c r="L27" s="107" t="s">
        <v>41</v>
      </c>
      <c r="M27" s="21" t="s">
        <v>41</v>
      </c>
      <c r="N27" s="22">
        <f>'2.ПП'!G70</f>
        <v>3</v>
      </c>
      <c r="O27" s="22">
        <f>'2.ПП'!H70</f>
        <v>3</v>
      </c>
      <c r="P27" s="22">
        <f>'2.ПП'!I70</f>
        <v>0</v>
      </c>
      <c r="Q27" s="22">
        <f>'2.ПП'!J70</f>
        <v>0</v>
      </c>
      <c r="R27" s="21">
        <f t="shared" si="1"/>
        <v>1</v>
      </c>
      <c r="S27" s="201" t="s">
        <v>41</v>
      </c>
      <c r="T27" s="113" t="s">
        <v>41</v>
      </c>
      <c r="U27" s="20" t="e">
        <f t="shared" si="5"/>
        <v>#VALUE!</v>
      </c>
      <c r="V27" s="4">
        <f t="shared" si="4"/>
        <v>1</v>
      </c>
      <c r="W27" s="116" t="e">
        <f t="shared" si="6"/>
        <v>#VALUE!</v>
      </c>
    </row>
    <row r="28" spans="1:27" ht="21" collapsed="1" x14ac:dyDescent="0.25">
      <c r="A28" s="17" t="s">
        <v>260</v>
      </c>
      <c r="B28" s="183" t="s">
        <v>1002</v>
      </c>
      <c r="C28" s="109">
        <f>'1. Показатели'!R142</f>
        <v>16</v>
      </c>
      <c r="D28" s="109">
        <f>'1. Показатели'!S142</f>
        <v>0</v>
      </c>
      <c r="E28" s="109">
        <f>'1. Показатели'!T142</f>
        <v>1</v>
      </c>
      <c r="F28" s="109">
        <f>'1. Показатели'!U142</f>
        <v>11</v>
      </c>
      <c r="G28" s="109">
        <f>'1. Показатели'!V142</f>
        <v>2</v>
      </c>
      <c r="H28" s="109">
        <f>'1. Показатели'!W142</f>
        <v>2</v>
      </c>
      <c r="I28" s="30">
        <f>'1. Показатели'!H142</f>
        <v>0.92072089864992679</v>
      </c>
      <c r="J28" s="356">
        <f>'1. Показатели'!Z142</f>
        <v>10</v>
      </c>
      <c r="K28" s="356">
        <f>'1. Показатели'!AA142</f>
        <v>3</v>
      </c>
      <c r="L28" s="356">
        <f>'1. Показатели'!AB142</f>
        <v>1</v>
      </c>
      <c r="M28" s="18">
        <f>'1. Показатели'!I142</f>
        <v>1.0249369652871387</v>
      </c>
      <c r="N28" s="356">
        <f>'2.ПП'!G71</f>
        <v>38</v>
      </c>
      <c r="O28" s="356">
        <f>'2.ПП'!H71</f>
        <v>31</v>
      </c>
      <c r="P28" s="356">
        <f>'2.ПП'!I71</f>
        <v>6</v>
      </c>
      <c r="Q28" s="356">
        <f>'2.ПП'!J71</f>
        <v>1</v>
      </c>
      <c r="R28" s="19">
        <f t="shared" si="1"/>
        <v>0.89473684210526316</v>
      </c>
      <c r="S28" s="30">
        <f>I28*$I$8+(M28-3%)*$M$8+R28*$R$8</f>
        <v>0.93760210218231865</v>
      </c>
      <c r="T28" s="114" t="str">
        <f>IF(S28&gt;=97%,"Высокая",IF((S28&gt;=92%)*AND(S28&lt;97%),"Средняя",IF((S28&gt;=85%)*AND(S28&lt;92%),"Ниже среднего","Низкая")))</f>
        <v>Средняя</v>
      </c>
      <c r="U28" s="20">
        <f t="shared" si="5"/>
        <v>0.93760210218231865</v>
      </c>
      <c r="V28" s="4">
        <f t="shared" si="4"/>
        <v>0.89473684210526316</v>
      </c>
      <c r="W28" s="117">
        <f t="shared" si="6"/>
        <v>2.5984056544663625E-2</v>
      </c>
    </row>
    <row r="29" spans="1:27" ht="22.5" hidden="1" outlineLevel="1" x14ac:dyDescent="0.25">
      <c r="A29" s="132" t="s">
        <v>119</v>
      </c>
      <c r="B29" s="200" t="s">
        <v>939</v>
      </c>
      <c r="C29" s="191">
        <f>'1. Показатели'!R145</f>
        <v>6</v>
      </c>
      <c r="D29" s="191">
        <f>'1. Показатели'!S145</f>
        <v>0</v>
      </c>
      <c r="E29" s="191">
        <f>'1. Показатели'!T145</f>
        <v>0</v>
      </c>
      <c r="F29" s="191">
        <f>'1. Показатели'!U145</f>
        <v>5</v>
      </c>
      <c r="G29" s="191">
        <f>'1. Показатели'!V145</f>
        <v>1</v>
      </c>
      <c r="H29" s="191">
        <f>'1. Показатели'!W145</f>
        <v>0</v>
      </c>
      <c r="I29" s="21">
        <f>'1. Показатели'!H145</f>
        <v>0.98928571428571432</v>
      </c>
      <c r="J29" s="22">
        <f>'1. Показатели'!Z145</f>
        <v>4</v>
      </c>
      <c r="K29" s="22">
        <f>'1. Показатели'!AA145</f>
        <v>2</v>
      </c>
      <c r="L29" s="22">
        <f>'1. Показатели'!AB145</f>
        <v>0</v>
      </c>
      <c r="M29" s="21">
        <f>'1. Показатели'!I145</f>
        <v>1.0814781355468182</v>
      </c>
      <c r="N29" s="396">
        <f>'2.ПП'!G76</f>
        <v>11</v>
      </c>
      <c r="O29" s="396">
        <f>'2.ПП'!H76</f>
        <v>10</v>
      </c>
      <c r="P29" s="396">
        <f>'2.ПП'!I76</f>
        <v>1</v>
      </c>
      <c r="Q29" s="396">
        <f>'2.ПП'!J76</f>
        <v>0</v>
      </c>
      <c r="R29" s="21">
        <f t="shared" si="1"/>
        <v>0.95454545454545459</v>
      </c>
      <c r="S29" s="201">
        <f>I29*$I$8+(M29-3%)*$M$8+R29*$R$8</f>
        <v>0.99889397081800968</v>
      </c>
      <c r="T29" s="21" t="str">
        <f>IF(S29&gt;=97%,"Высокая",IF((S29&gt;=92%)*AND(S29&lt;97%),"Средняя",IF((S29&gt;=85%)*AND(S29&lt;92%),"Ниже среднего","Низкая")))</f>
        <v>Высокая</v>
      </c>
      <c r="U29" s="20">
        <f t="shared" si="5"/>
        <v>0.99889397081800968</v>
      </c>
      <c r="V29" s="4">
        <f t="shared" si="4"/>
        <v>0.95454545454545459</v>
      </c>
      <c r="W29" s="117">
        <f t="shared" si="6"/>
        <v>3.4740259740259738E-2</v>
      </c>
    </row>
    <row r="30" spans="1:27" ht="33.75" hidden="1" outlineLevel="1" x14ac:dyDescent="0.25">
      <c r="A30" s="132" t="s">
        <v>123</v>
      </c>
      <c r="B30" s="200" t="s">
        <v>940</v>
      </c>
      <c r="C30" s="191">
        <f>'1. Показатели'!R152</f>
        <v>4</v>
      </c>
      <c r="D30" s="191">
        <f>'1. Показатели'!S152</f>
        <v>0</v>
      </c>
      <c r="E30" s="191">
        <f>'1. Показатели'!T152</f>
        <v>0</v>
      </c>
      <c r="F30" s="191">
        <f>'1. Показатели'!U152</f>
        <v>2</v>
      </c>
      <c r="G30" s="191">
        <f>'1. Показатели'!V152</f>
        <v>1</v>
      </c>
      <c r="H30" s="191">
        <f>'1. Показатели'!W152</f>
        <v>1</v>
      </c>
      <c r="I30" s="21">
        <f>'1. Показатели'!H152</f>
        <v>0.84807783018867922</v>
      </c>
      <c r="J30" s="22">
        <f>'1. Показатели'!Z152</f>
        <v>3</v>
      </c>
      <c r="K30" s="22">
        <f>'1. Показатели'!AA152</f>
        <v>0</v>
      </c>
      <c r="L30" s="22">
        <f>'1. Показатели'!AB152</f>
        <v>0</v>
      </c>
      <c r="M30" s="21">
        <f>'1. Показатели'!I152</f>
        <v>1.0945717261129915</v>
      </c>
      <c r="N30" s="396">
        <f>'2.ПП'!G79</f>
        <v>14</v>
      </c>
      <c r="O30" s="396">
        <f>'2.ПП'!H79</f>
        <v>11</v>
      </c>
      <c r="P30" s="396">
        <f>'2.ПП'!I79</f>
        <v>3</v>
      </c>
      <c r="Q30" s="396">
        <f>'2.ПП'!J79</f>
        <v>0</v>
      </c>
      <c r="R30" s="21">
        <f t="shared" si="1"/>
        <v>0.8928571428571429</v>
      </c>
      <c r="S30" s="201">
        <f>I30*$I$8+(M30-3%)*$M$8+R30*$R$8</f>
        <v>0.93952345319615072</v>
      </c>
      <c r="T30" s="21" t="str">
        <f>IF(S30&gt;=97%,"Высокая",IF((S30&gt;=92%)*AND(S30&lt;97%),"Средняя",IF((S30&gt;=85%)*AND(S30&lt;92%),"Ниже среднего","Низкая")))</f>
        <v>Средняя</v>
      </c>
      <c r="U30" s="20">
        <f t="shared" si="5"/>
        <v>0.93952345319615072</v>
      </c>
      <c r="V30" s="4">
        <f t="shared" si="4"/>
        <v>0.8928571428571429</v>
      </c>
      <c r="W30" s="117">
        <f t="shared" si="6"/>
        <v>-4.4779312668463689E-2</v>
      </c>
    </row>
    <row r="31" spans="1:27" ht="25.5" hidden="1" customHeight="1" outlineLevel="1" x14ac:dyDescent="0.25">
      <c r="A31" s="132" t="s">
        <v>126</v>
      </c>
      <c r="B31" s="200" t="s">
        <v>941</v>
      </c>
      <c r="C31" s="191">
        <f>'1. Показатели'!R157</f>
        <v>4</v>
      </c>
      <c r="D31" s="191">
        <f>'1. Показатели'!S157</f>
        <v>0</v>
      </c>
      <c r="E31" s="191">
        <f>'1. Показатели'!T157</f>
        <v>0</v>
      </c>
      <c r="F31" s="191">
        <f>'1. Показатели'!U157</f>
        <v>3</v>
      </c>
      <c r="G31" s="191">
        <f>'1. Показатели'!V157</f>
        <v>0</v>
      </c>
      <c r="H31" s="191">
        <f>'1. Показатели'!W157</f>
        <v>1</v>
      </c>
      <c r="I31" s="21">
        <f>'1. Показатели'!H157</f>
        <v>0.85087719298245612</v>
      </c>
      <c r="J31" s="22">
        <f>'1. Показатели'!Z157</f>
        <v>1</v>
      </c>
      <c r="K31" s="22">
        <f>'1. Показатели'!AA157</f>
        <v>1</v>
      </c>
      <c r="L31" s="22">
        <f>'1. Показатели'!AB157</f>
        <v>1</v>
      </c>
      <c r="M31" s="21">
        <f>'1. Показатели'!I157</f>
        <v>0.81229644400132939</v>
      </c>
      <c r="N31" s="396">
        <f>'2.ПП'!G83</f>
        <v>12</v>
      </c>
      <c r="O31" s="396">
        <f>'2.ПП'!H83</f>
        <v>9</v>
      </c>
      <c r="P31" s="396">
        <f>'2.ПП'!I83</f>
        <v>2</v>
      </c>
      <c r="Q31" s="396">
        <f>'2.ПП'!J83</f>
        <v>1</v>
      </c>
      <c r="R31" s="21">
        <f t="shared" si="1"/>
        <v>0.83333333333333337</v>
      </c>
      <c r="S31" s="201">
        <f>I31*$I$8+(M31-3%)*$M$8+R31*$R$8</f>
        <v>0.82073357996186869</v>
      </c>
      <c r="T31" s="21" t="str">
        <f>IF(S31&gt;=97%,"Высокая",IF((S31&gt;=92%)*AND(S31&lt;97%),"Средняя",IF((S31&gt;=85%)*AND(S31&lt;92%),"Ниже среднего","Низкая")))</f>
        <v>Низкая</v>
      </c>
      <c r="U31" s="20">
        <f t="shared" si="5"/>
        <v>0.82073357996186869</v>
      </c>
      <c r="V31" s="4">
        <f t="shared" si="4"/>
        <v>0.83333333333333337</v>
      </c>
      <c r="W31" s="117">
        <f t="shared" si="6"/>
        <v>1.7543859649122751E-2</v>
      </c>
    </row>
    <row r="32" spans="1:27" ht="33.75" hidden="1" customHeight="1" outlineLevel="1" x14ac:dyDescent="0.25">
      <c r="A32" s="132" t="s">
        <v>261</v>
      </c>
      <c r="B32" s="200" t="s">
        <v>189</v>
      </c>
      <c r="C32" s="21" t="s">
        <v>41</v>
      </c>
      <c r="D32" s="21" t="s">
        <v>41</v>
      </c>
      <c r="E32" s="21" t="s">
        <v>41</v>
      </c>
      <c r="F32" s="21" t="s">
        <v>41</v>
      </c>
      <c r="G32" s="21" t="s">
        <v>41</v>
      </c>
      <c r="H32" s="21" t="s">
        <v>41</v>
      </c>
      <c r="I32" s="21" t="s">
        <v>41</v>
      </c>
      <c r="J32" s="21" t="s">
        <v>41</v>
      </c>
      <c r="K32" s="21" t="s">
        <v>41</v>
      </c>
      <c r="L32" s="21" t="s">
        <v>41</v>
      </c>
      <c r="M32" s="21" t="s">
        <v>41</v>
      </c>
      <c r="N32" s="396">
        <f>'2.ПП'!G88</f>
        <v>1</v>
      </c>
      <c r="O32" s="396">
        <f>'2.ПП'!H88</f>
        <v>1</v>
      </c>
      <c r="P32" s="396">
        <f>'2.ПП'!I88</f>
        <v>0</v>
      </c>
      <c r="Q32" s="396">
        <f>'2.ПП'!J88</f>
        <v>0</v>
      </c>
      <c r="R32" s="21">
        <f t="shared" si="1"/>
        <v>1</v>
      </c>
      <c r="S32" s="23" t="s">
        <v>41</v>
      </c>
      <c r="T32" s="365" t="s">
        <v>41</v>
      </c>
      <c r="U32" s="20" t="e">
        <f t="shared" si="5"/>
        <v>#VALUE!</v>
      </c>
      <c r="V32" s="4">
        <f t="shared" si="4"/>
        <v>1</v>
      </c>
      <c r="W32" s="116" t="e">
        <f t="shared" si="6"/>
        <v>#VALUE!</v>
      </c>
    </row>
    <row r="33" spans="1:23" ht="36" customHeight="1" collapsed="1" x14ac:dyDescent="0.25">
      <c r="A33" s="17" t="s">
        <v>262</v>
      </c>
      <c r="B33" s="183" t="s">
        <v>1003</v>
      </c>
      <c r="C33" s="355">
        <f>'1. Показатели'!R162</f>
        <v>23</v>
      </c>
      <c r="D33" s="355">
        <f>'1. Показатели'!S162</f>
        <v>3</v>
      </c>
      <c r="E33" s="355">
        <f>'1. Показатели'!T162</f>
        <v>3</v>
      </c>
      <c r="F33" s="355">
        <f>'1. Показатели'!U162</f>
        <v>11</v>
      </c>
      <c r="G33" s="355">
        <f>'1. Показатели'!V162</f>
        <v>4</v>
      </c>
      <c r="H33" s="355">
        <f>'1. Показатели'!W162</f>
        <v>2</v>
      </c>
      <c r="I33" s="30">
        <f>'1. Показатели'!H162</f>
        <v>0.94396874773419737</v>
      </c>
      <c r="J33" s="356">
        <f>'1. Показатели'!Z162</f>
        <v>8</v>
      </c>
      <c r="K33" s="356">
        <f>'1. Показатели'!AA162</f>
        <v>1</v>
      </c>
      <c r="L33" s="356">
        <f>'1. Показатели'!AB162</f>
        <v>4</v>
      </c>
      <c r="M33" s="18">
        <f>'1. Показатели'!I162</f>
        <v>1.0372565927526198</v>
      </c>
      <c r="N33" s="356">
        <f>'2.ПП'!G89</f>
        <v>90</v>
      </c>
      <c r="O33" s="356">
        <f>'2.ПП'!H89</f>
        <v>82</v>
      </c>
      <c r="P33" s="356">
        <f>'2.ПП'!I89</f>
        <v>5</v>
      </c>
      <c r="Q33" s="356">
        <f>'2.ПП'!J89</f>
        <v>3</v>
      </c>
      <c r="R33" s="30">
        <f t="shared" si="1"/>
        <v>0.93888888888888888</v>
      </c>
      <c r="S33" s="30">
        <f>I33*$I$8+(M33-3%)*$M$8+R33*$R$8</f>
        <v>0.96434154289478713</v>
      </c>
      <c r="T33" s="114" t="str">
        <f>IF(S33&gt;=97%,"Высокая",IF((S33&gt;=92%)*AND(S33&lt;97%),"Средняя",IF((S33&gt;=85%)*AND(S33&lt;92%),"Ниже среднего","Низкая")))</f>
        <v>Средняя</v>
      </c>
      <c r="U33" s="20">
        <f t="shared" si="5"/>
        <v>0.96434154289478713</v>
      </c>
      <c r="V33" s="4">
        <f t="shared" si="4"/>
        <v>0.93888888888888888</v>
      </c>
      <c r="W33" s="116">
        <f t="shared" si="6"/>
        <v>5.0798588453084825E-3</v>
      </c>
    </row>
    <row r="34" spans="1:23" hidden="1" outlineLevel="1" x14ac:dyDescent="0.25">
      <c r="A34" s="132" t="s">
        <v>130</v>
      </c>
      <c r="B34" s="200" t="s">
        <v>191</v>
      </c>
      <c r="C34" s="205">
        <f>'1. Показатели'!R170</f>
        <v>6</v>
      </c>
      <c r="D34" s="205">
        <f>'1. Показатели'!S170</f>
        <v>0</v>
      </c>
      <c r="E34" s="205">
        <f>'1. Показатели'!T170</f>
        <v>1</v>
      </c>
      <c r="F34" s="205">
        <f>'1. Показатели'!U170</f>
        <v>5</v>
      </c>
      <c r="G34" s="205">
        <f>'1. Показатели'!V170</f>
        <v>0</v>
      </c>
      <c r="H34" s="205">
        <f>'1. Показатели'!W170</f>
        <v>0</v>
      </c>
      <c r="I34" s="21">
        <f>'1. Показатели'!H170</f>
        <v>1</v>
      </c>
      <c r="J34" s="206">
        <f>'1. Показатели'!Z170</f>
        <v>3</v>
      </c>
      <c r="K34" s="206">
        <f>'1. Показатели'!AA170</f>
        <v>1</v>
      </c>
      <c r="L34" s="206">
        <f>'1. Показатели'!AB170</f>
        <v>1</v>
      </c>
      <c r="M34" s="21">
        <f>'1. Показатели'!I170</f>
        <v>1.0238708386414808</v>
      </c>
      <c r="N34" s="22">
        <f>'2.ПП'!G93</f>
        <v>24</v>
      </c>
      <c r="O34" s="22">
        <f>'2.ПП'!H93</f>
        <v>20</v>
      </c>
      <c r="P34" s="22">
        <f>'2.ПП'!I93</f>
        <v>1</v>
      </c>
      <c r="Q34" s="22">
        <f>'2.ПП'!J93</f>
        <v>3</v>
      </c>
      <c r="R34" s="21">
        <f t="shared" si="1"/>
        <v>0.85416666666666663</v>
      </c>
      <c r="S34" s="201">
        <f>I34*$I$8+(M34-3%)*$M$8+R34*$R$8</f>
        <v>0.94681312685785157</v>
      </c>
      <c r="T34" s="21" t="str">
        <f>IF(S34&gt;=97%,"Высокая",IF((S34&gt;=92%)*AND(S34&lt;97%),"Средняя",IF((S34&gt;=85%)*AND(S34&lt;92%),"Ниже среднего","Низкая")))</f>
        <v>Средняя</v>
      </c>
      <c r="U34" s="20">
        <f t="shared" si="5"/>
        <v>0.94681312685785157</v>
      </c>
      <c r="V34" s="4">
        <f t="shared" si="4"/>
        <v>0.85416666666666663</v>
      </c>
      <c r="W34" s="116">
        <f t="shared" si="6"/>
        <v>0.14583333333333337</v>
      </c>
    </row>
    <row r="35" spans="1:23" ht="33.75" hidden="1" outlineLevel="1" x14ac:dyDescent="0.25">
      <c r="A35" s="132" t="s">
        <v>133</v>
      </c>
      <c r="B35" s="200" t="s">
        <v>944</v>
      </c>
      <c r="C35" s="205">
        <f>'1. Показатели'!R177</f>
        <v>2</v>
      </c>
      <c r="D35" s="205">
        <f>'1. Показатели'!S177</f>
        <v>0</v>
      </c>
      <c r="E35" s="205">
        <f>'1. Показатели'!T177</f>
        <v>0</v>
      </c>
      <c r="F35" s="205">
        <f>'1. Показатели'!U177</f>
        <v>2</v>
      </c>
      <c r="G35" s="205">
        <f>'1. Показатели'!V177</f>
        <v>0</v>
      </c>
      <c r="H35" s="205">
        <f>'1. Показатели'!W177</f>
        <v>0</v>
      </c>
      <c r="I35" s="21">
        <f>'1. Показатели'!H177</f>
        <v>1</v>
      </c>
      <c r="J35" s="206">
        <f>'1. Показатели'!Z177</f>
        <v>2</v>
      </c>
      <c r="K35" s="206">
        <f>'1. Показатели'!AA177</f>
        <v>0</v>
      </c>
      <c r="L35" s="206">
        <f>'1. Показатели'!AB177</f>
        <v>0</v>
      </c>
      <c r="M35" s="21">
        <f>'1. Показатели'!I177</f>
        <v>1.1314102564102564</v>
      </c>
      <c r="N35" s="22">
        <f>'2.ПП'!G97</f>
        <v>14</v>
      </c>
      <c r="O35" s="22">
        <f>'2.ПП'!H97</f>
        <v>13</v>
      </c>
      <c r="P35" s="22">
        <f>'2.ПП'!I97</f>
        <v>1</v>
      </c>
      <c r="Q35" s="22">
        <f>'2.ПП'!J97</f>
        <v>0</v>
      </c>
      <c r="R35" s="21">
        <f t="shared" si="1"/>
        <v>0.9642857142857143</v>
      </c>
      <c r="S35" s="21">
        <f>I35*$I$8+(M35-3%)*$M$8+R35*$R$8</f>
        <v>1.0229935897435896</v>
      </c>
      <c r="T35" s="21" t="str">
        <f>IF(S35&gt;=97%,"Высокая",IF((S35&gt;=92%)*AND(S35&lt;97%),"Средняя",IF((S35&gt;=85%)*AND(S35&lt;92%),"Ниже среднего","Низкая")))</f>
        <v>Высокая</v>
      </c>
      <c r="U35" s="20">
        <f t="shared" si="5"/>
        <v>1.0229935897435896</v>
      </c>
      <c r="V35" s="4">
        <f t="shared" si="4"/>
        <v>0.9642857142857143</v>
      </c>
      <c r="W35" s="116">
        <f t="shared" si="6"/>
        <v>3.5714285714285698E-2</v>
      </c>
    </row>
    <row r="36" spans="1:23" ht="28.5" hidden="1" customHeight="1" outlineLevel="1" x14ac:dyDescent="0.25">
      <c r="A36" s="132" t="s">
        <v>263</v>
      </c>
      <c r="B36" s="200" t="s">
        <v>945</v>
      </c>
      <c r="C36" s="206">
        <f>'1. Показатели'!R180</f>
        <v>8</v>
      </c>
      <c r="D36" s="206">
        <f>'1. Показатели'!S180</f>
        <v>1</v>
      </c>
      <c r="E36" s="206">
        <f>'1. Показатели'!T180</f>
        <v>2</v>
      </c>
      <c r="F36" s="206">
        <f>'1. Показатели'!U180</f>
        <v>2</v>
      </c>
      <c r="G36" s="206">
        <f>'1. Показатели'!V180</f>
        <v>1</v>
      </c>
      <c r="H36" s="206">
        <f>'1. Показатели'!W180</f>
        <v>2</v>
      </c>
      <c r="I36" s="21">
        <f>'1. Показатели'!H180</f>
        <v>0.87287525381451336</v>
      </c>
      <c r="J36" s="206">
        <f>'1. Показатели'!Z180</f>
        <v>3</v>
      </c>
      <c r="K36" s="206">
        <f>'1. Показатели'!AA180</f>
        <v>0</v>
      </c>
      <c r="L36" s="206">
        <f>'1. Показатели'!AB180</f>
        <v>1</v>
      </c>
      <c r="M36" s="21">
        <f>'1. Показатели'!I180</f>
        <v>1.0592680079461525</v>
      </c>
      <c r="N36" s="22">
        <f>'2.ПП'!G101</f>
        <v>46</v>
      </c>
      <c r="O36" s="22">
        <f>'2.ПП'!H101</f>
        <v>43</v>
      </c>
      <c r="P36" s="22">
        <f>'2.ПП'!I101</f>
        <v>3</v>
      </c>
      <c r="Q36" s="22">
        <f>'2.ПП'!J101</f>
        <v>0</v>
      </c>
      <c r="R36" s="21">
        <f t="shared" si="1"/>
        <v>0.96739130434782605</v>
      </c>
      <c r="S36" s="21">
        <f>I36*$I$8+(M36-3%)*$M$8+R36*$R$8</f>
        <v>0.96069333544724644</v>
      </c>
      <c r="T36" s="21" t="str">
        <f>IF(S36&gt;=97%,"Высокая",IF((S36&gt;=92%)*AND(S36&lt;97%),"Средняя",IF((S36&gt;=85%)*AND(S36&lt;92%),"Ниже среднего","Низкая")))</f>
        <v>Средняя</v>
      </c>
      <c r="U36" s="20">
        <f t="shared" si="5"/>
        <v>0.96069333544724644</v>
      </c>
      <c r="V36" s="4">
        <f t="shared" si="4"/>
        <v>0.96739130434782605</v>
      </c>
      <c r="W36" s="116">
        <f t="shared" si="6"/>
        <v>-9.451605053331269E-2</v>
      </c>
    </row>
    <row r="37" spans="1:23" ht="28.5" hidden="1" customHeight="1" outlineLevel="1" x14ac:dyDescent="0.25">
      <c r="A37" s="132" t="s">
        <v>23</v>
      </c>
      <c r="B37" s="200" t="s">
        <v>946</v>
      </c>
      <c r="C37" s="205" t="s">
        <v>41</v>
      </c>
      <c r="D37" s="205" t="s">
        <v>41</v>
      </c>
      <c r="E37" s="205" t="s">
        <v>41</v>
      </c>
      <c r="F37" s="205" t="s">
        <v>41</v>
      </c>
      <c r="G37" s="205" t="s">
        <v>41</v>
      </c>
      <c r="H37" s="205" t="s">
        <v>41</v>
      </c>
      <c r="I37" s="21" t="s">
        <v>41</v>
      </c>
      <c r="J37" s="205" t="s">
        <v>41</v>
      </c>
      <c r="K37" s="205" t="s">
        <v>41</v>
      </c>
      <c r="L37" s="205" t="s">
        <v>41</v>
      </c>
      <c r="M37" s="21" t="s">
        <v>41</v>
      </c>
      <c r="N37" s="22">
        <f>'2.ПП'!G105</f>
        <v>6</v>
      </c>
      <c r="O37" s="22">
        <f>'2.ПП'!H105</f>
        <v>6</v>
      </c>
      <c r="P37" s="22">
        <f>'2.ПП'!I105</f>
        <v>0</v>
      </c>
      <c r="Q37" s="22">
        <f>'2.ПП'!J105</f>
        <v>0</v>
      </c>
      <c r="R37" s="21">
        <f t="shared" si="1"/>
        <v>1</v>
      </c>
      <c r="S37" s="21" t="s">
        <v>41</v>
      </c>
      <c r="T37" s="123" t="s">
        <v>41</v>
      </c>
      <c r="U37" s="20"/>
      <c r="V37" s="4">
        <f t="shared" si="4"/>
        <v>1</v>
      </c>
      <c r="W37" s="116"/>
    </row>
    <row r="38" spans="1:23" ht="21" collapsed="1" x14ac:dyDescent="0.25">
      <c r="A38" s="17" t="s">
        <v>264</v>
      </c>
      <c r="B38" s="183" t="s">
        <v>1026</v>
      </c>
      <c r="C38" s="109">
        <f>'1. Показатели'!R189</f>
        <v>20</v>
      </c>
      <c r="D38" s="109">
        <f>'1. Показатели'!S189</f>
        <v>1</v>
      </c>
      <c r="E38" s="109">
        <f>'1. Показатели'!T189</f>
        <v>5</v>
      </c>
      <c r="F38" s="109">
        <f>'1. Показатели'!U189</f>
        <v>7</v>
      </c>
      <c r="G38" s="109">
        <f>'1. Показатели'!V189</f>
        <v>4</v>
      </c>
      <c r="H38" s="109">
        <f>'1. Показатели'!W189</f>
        <v>3</v>
      </c>
      <c r="I38" s="30">
        <f>'1. Показатели'!H189</f>
        <v>0.92180418542508402</v>
      </c>
      <c r="J38" s="110">
        <f>'1. Показатели'!Z189</f>
        <v>8</v>
      </c>
      <c r="K38" s="110">
        <f>'1. Показатели'!AA189</f>
        <v>1</v>
      </c>
      <c r="L38" s="110">
        <f>'1. Показатели'!AB189</f>
        <v>6</v>
      </c>
      <c r="M38" s="18">
        <f>'1. Показатели'!I189</f>
        <v>1.0319921645162422</v>
      </c>
      <c r="N38" s="356">
        <f>'2.ПП'!G108</f>
        <v>17</v>
      </c>
      <c r="O38" s="356">
        <f>'2.ПП'!H108</f>
        <v>15</v>
      </c>
      <c r="P38" s="356">
        <f>'2.ПП'!I108</f>
        <v>2</v>
      </c>
      <c r="Q38" s="356">
        <f>'2.ПП'!J108</f>
        <v>0</v>
      </c>
      <c r="R38" s="30">
        <f t="shared" si="1"/>
        <v>0.94117647058823528</v>
      </c>
      <c r="S38" s="30">
        <f>I38*$I$8+(M38-3%)*$M$8+R38*$R$8</f>
        <v>0.95665027791409218</v>
      </c>
      <c r="T38" s="114" t="str">
        <f>IF(S38&gt;=97%,"Высокая",IF((S38&gt;=92%)*AND(S38&lt;97%),"Средняя",IF((S38&gt;=85%)*AND(S38&lt;92%),"Ниже среднего","Низкая")))</f>
        <v>Средняя</v>
      </c>
      <c r="U38" s="20">
        <f t="shared" ref="U38:U48" si="9">I38*0.3+(M38-3%)*0.35+R38*0.35</f>
        <v>0.95665027791409218</v>
      </c>
      <c r="V38" s="4">
        <f t="shared" si="4"/>
        <v>0.94117647058823528</v>
      </c>
      <c r="W38" s="116">
        <f t="shared" ref="W38:W71" si="10">I38-R38</f>
        <v>-1.9372285163151259E-2</v>
      </c>
    </row>
    <row r="39" spans="1:23" ht="40.5" hidden="1" customHeight="1" outlineLevel="1" x14ac:dyDescent="0.25">
      <c r="A39" s="132" t="s">
        <v>135</v>
      </c>
      <c r="B39" s="200" t="s">
        <v>947</v>
      </c>
      <c r="C39" s="106">
        <f>'1. Показатели'!R194</f>
        <v>4</v>
      </c>
      <c r="D39" s="106">
        <f>'1. Показатели'!S194</f>
        <v>0</v>
      </c>
      <c r="E39" s="106">
        <f>'1. Показатели'!T194</f>
        <v>1</v>
      </c>
      <c r="F39" s="106">
        <f>'1. Показатели'!U194</f>
        <v>2</v>
      </c>
      <c r="G39" s="106">
        <f>'1. Показатели'!V194</f>
        <v>0</v>
      </c>
      <c r="H39" s="106">
        <f>'1. Показатели'!W194</f>
        <v>1</v>
      </c>
      <c r="I39" s="107">
        <f>'1. Показатели'!H194</f>
        <v>0.87666666666666671</v>
      </c>
      <c r="J39" s="108">
        <f>'1. Показатели'!Z194</f>
        <v>2</v>
      </c>
      <c r="K39" s="108">
        <f>'1. Показатели'!AA194</f>
        <v>0</v>
      </c>
      <c r="L39" s="108">
        <f>'1. Показатели'!AB194</f>
        <v>1</v>
      </c>
      <c r="M39" s="21">
        <f>'1. Показатели'!I194</f>
        <v>1.0498818372403278</v>
      </c>
      <c r="N39" s="22">
        <f>'2.ПП'!G112</f>
        <v>11</v>
      </c>
      <c r="O39" s="22">
        <f>'2.ПП'!H112</f>
        <v>10</v>
      </c>
      <c r="P39" s="22">
        <f>'2.ПП'!I112</f>
        <v>1</v>
      </c>
      <c r="Q39" s="22">
        <f>'2.ПП'!J112</f>
        <v>0</v>
      </c>
      <c r="R39" s="21">
        <f t="shared" si="1"/>
        <v>0.95454545454545459</v>
      </c>
      <c r="S39" s="201">
        <f>I39*$I$8+(M39-3%)*$M$8+R39*$R$8</f>
        <v>0.95404955212502374</v>
      </c>
      <c r="T39" s="21" t="str">
        <f>IF(S39&gt;=97%,"Высокая",IF((S39&gt;=92%)*AND(S39&lt;97%),"Средняя",IF((S39&gt;=85%)*AND(S39&lt;92%),"Ниже среднего","Низкая")))</f>
        <v>Средняя</v>
      </c>
      <c r="U39" s="20">
        <f t="shared" si="9"/>
        <v>0.95404955212502374</v>
      </c>
      <c r="V39" s="4">
        <f t="shared" si="4"/>
        <v>0.95454545454545459</v>
      </c>
      <c r="W39" s="116">
        <f t="shared" si="10"/>
        <v>-7.7878787878787881E-2</v>
      </c>
    </row>
    <row r="40" spans="1:23" ht="51" hidden="1" customHeight="1" outlineLevel="1" x14ac:dyDescent="0.25">
      <c r="A40" s="132" t="s">
        <v>136</v>
      </c>
      <c r="B40" s="200" t="s">
        <v>948</v>
      </c>
      <c r="C40" s="106">
        <f>'1. Показатели'!R199</f>
        <v>3</v>
      </c>
      <c r="D40" s="106">
        <f>'1. Показатели'!S199</f>
        <v>0</v>
      </c>
      <c r="E40" s="106">
        <f>'1. Показатели'!T199</f>
        <v>0</v>
      </c>
      <c r="F40" s="106">
        <f>'1. Показатели'!U199</f>
        <v>1</v>
      </c>
      <c r="G40" s="106">
        <f>'1. Показатели'!V199</f>
        <v>2</v>
      </c>
      <c r="H40" s="106">
        <f>'1. Показатели'!W199</f>
        <v>0</v>
      </c>
      <c r="I40" s="107">
        <f>'1. Показатели'!H199</f>
        <v>0.95187969924812033</v>
      </c>
      <c r="J40" s="108">
        <f>'1. Показатели'!Z199</f>
        <v>0</v>
      </c>
      <c r="K40" s="108">
        <f>'1. Показатели'!AA199</f>
        <v>0</v>
      </c>
      <c r="L40" s="108">
        <f>'1. Показатели'!AB199</f>
        <v>0</v>
      </c>
      <c r="M40" s="107">
        <f>'1. Показатели'!I199</f>
        <v>1</v>
      </c>
      <c r="N40" s="22">
        <f>'2.ПП'!G115</f>
        <v>2</v>
      </c>
      <c r="O40" s="22">
        <f>'2.ПП'!H115</f>
        <v>1</v>
      </c>
      <c r="P40" s="22">
        <f>'2.ПП'!I115</f>
        <v>1</v>
      </c>
      <c r="Q40" s="22">
        <f>'2.ПП'!J115</f>
        <v>0</v>
      </c>
      <c r="R40" s="21">
        <f t="shared" si="1"/>
        <v>0.75</v>
      </c>
      <c r="S40" s="201">
        <f t="shared" ref="S40:S41" si="11">I40*$I$8+(M40-3%)*$M$8+R40*$R$8</f>
        <v>0.887563909774436</v>
      </c>
      <c r="T40" s="21" t="str">
        <f t="shared" ref="T40:T41" si="12">IF(S40&gt;=97%,"Высокая",IF((S40&gt;=92%)*AND(S40&lt;97%),"Средняя",IF((S40&gt;=85%)*AND(S40&lt;92%),"Ниже среднего","Низкая")))</f>
        <v>Ниже среднего</v>
      </c>
      <c r="U40" s="20">
        <f t="shared" si="9"/>
        <v>0.887563909774436</v>
      </c>
      <c r="V40" s="4">
        <f t="shared" si="4"/>
        <v>0.75</v>
      </c>
      <c r="W40" s="117">
        <f t="shared" si="10"/>
        <v>0.20187969924812033</v>
      </c>
    </row>
    <row r="41" spans="1:23" ht="30.75" hidden="1" customHeight="1" outlineLevel="1" x14ac:dyDescent="0.25">
      <c r="A41" s="132" t="s">
        <v>265</v>
      </c>
      <c r="B41" s="200" t="s">
        <v>949</v>
      </c>
      <c r="C41" s="361">
        <f>'1. Показатели'!R203</f>
        <v>8</v>
      </c>
      <c r="D41" s="361">
        <f>'1. Показатели'!S203</f>
        <v>0</v>
      </c>
      <c r="E41" s="361">
        <f>'1. Показатели'!T203</f>
        <v>3</v>
      </c>
      <c r="F41" s="361">
        <f>'1. Показатели'!U203</f>
        <v>2</v>
      </c>
      <c r="G41" s="361">
        <f>'1. Показатели'!V203</f>
        <v>2</v>
      </c>
      <c r="H41" s="361">
        <f>'1. Показатели'!W203</f>
        <v>1</v>
      </c>
      <c r="I41" s="107">
        <f>'1. Показатели'!H203</f>
        <v>0.93513927748518766</v>
      </c>
      <c r="J41" s="361">
        <f>'1. Показатели'!Z203</f>
        <v>3</v>
      </c>
      <c r="K41" s="361">
        <f>'1. Показатели'!AA203</f>
        <v>1</v>
      </c>
      <c r="L41" s="361">
        <f>'1. Показатели'!AB203</f>
        <v>4</v>
      </c>
      <c r="M41" s="21">
        <f>'1. Показатели'!I203</f>
        <v>0.98379796331834446</v>
      </c>
      <c r="N41" s="22">
        <f>'2.ПП'!G118</f>
        <v>4</v>
      </c>
      <c r="O41" s="22">
        <f>'2.ПП'!H118</f>
        <v>4</v>
      </c>
      <c r="P41" s="22">
        <f>'2.ПП'!I118</f>
        <v>0</v>
      </c>
      <c r="Q41" s="22">
        <f>'2.ПП'!J118</f>
        <v>0</v>
      </c>
      <c r="R41" s="21">
        <f t="shared" ref="R41:R71" si="13">(O41+0.5*P41)/N41</f>
        <v>1</v>
      </c>
      <c r="S41" s="201">
        <f t="shared" si="11"/>
        <v>0.96437107040697678</v>
      </c>
      <c r="T41" s="21" t="str">
        <f t="shared" si="12"/>
        <v>Средняя</v>
      </c>
      <c r="U41" s="20">
        <f t="shared" si="9"/>
        <v>0.96437107040697678</v>
      </c>
      <c r="V41" s="4">
        <f t="shared" si="4"/>
        <v>1</v>
      </c>
      <c r="W41" s="116">
        <f t="shared" si="10"/>
        <v>-6.4860722514812341E-2</v>
      </c>
    </row>
    <row r="42" spans="1:23" ht="33.75" hidden="1" customHeight="1" outlineLevel="1" x14ac:dyDescent="0.25">
      <c r="A42" s="351" t="s">
        <v>137</v>
      </c>
      <c r="B42" s="200" t="s">
        <v>1236</v>
      </c>
      <c r="C42" s="361">
        <f>'1. Показатели'!R212</f>
        <v>1</v>
      </c>
      <c r="D42" s="361">
        <f>'1. Показатели'!S212</f>
        <v>0</v>
      </c>
      <c r="E42" s="361">
        <f>'1. Показатели'!T212</f>
        <v>0</v>
      </c>
      <c r="F42" s="361">
        <f>'1. Показатели'!U212</f>
        <v>1</v>
      </c>
      <c r="G42" s="361">
        <f>'1. Показатели'!V212</f>
        <v>0</v>
      </c>
      <c r="H42" s="361">
        <f>'1. Показатели'!W212</f>
        <v>0</v>
      </c>
      <c r="I42" s="107">
        <f>'1. Показатели'!H212</f>
        <v>1</v>
      </c>
      <c r="J42" s="361">
        <f>'1. Показатели'!Z212</f>
        <v>1</v>
      </c>
      <c r="K42" s="361">
        <f>'1. Показатели'!AA212</f>
        <v>0</v>
      </c>
      <c r="L42" s="361">
        <f>'1. Показатели'!AB212</f>
        <v>0</v>
      </c>
      <c r="M42" s="21">
        <f>'1. Показатели'!I212</f>
        <v>1.05</v>
      </c>
      <c r="N42" s="22">
        <f>'2.ПП'!G119</f>
        <v>0</v>
      </c>
      <c r="O42" s="22">
        <f>'2.ПП'!H119</f>
        <v>0</v>
      </c>
      <c r="P42" s="22">
        <f>'2.ПП'!I119</f>
        <v>0</v>
      </c>
      <c r="Q42" s="22">
        <f>'2.ПП'!J119</f>
        <v>0</v>
      </c>
      <c r="R42" s="21" t="s">
        <v>41</v>
      </c>
      <c r="S42" s="112" t="s">
        <v>41</v>
      </c>
      <c r="T42" s="113" t="s">
        <v>41</v>
      </c>
      <c r="U42" s="20"/>
      <c r="W42" s="116"/>
    </row>
    <row r="43" spans="1:23" ht="24" collapsed="1" x14ac:dyDescent="0.25">
      <c r="A43" s="17" t="s">
        <v>266</v>
      </c>
      <c r="B43" s="183" t="s">
        <v>1027</v>
      </c>
      <c r="C43" s="109">
        <f>'1. Показатели'!R214</f>
        <v>38</v>
      </c>
      <c r="D43" s="109">
        <f>'1. Показатели'!S214</f>
        <v>1</v>
      </c>
      <c r="E43" s="109">
        <f>'1. Показатели'!T214</f>
        <v>2</v>
      </c>
      <c r="F43" s="109">
        <f>'1. Показатели'!U214</f>
        <v>27</v>
      </c>
      <c r="G43" s="355">
        <f>'1. Показатели'!V214</f>
        <v>3</v>
      </c>
      <c r="H43" s="355">
        <f>'1. Показатели'!W214</f>
        <v>5</v>
      </c>
      <c r="I43" s="30">
        <f>'1. Показатели'!H214</f>
        <v>0.92422962300388201</v>
      </c>
      <c r="J43" s="356">
        <f>'1. Показатели'!Z214</f>
        <v>10</v>
      </c>
      <c r="K43" s="356">
        <f>'1. Показатели'!AA214</f>
        <v>1</v>
      </c>
      <c r="L43" s="356">
        <f>'1. Показатели'!AB214</f>
        <v>3</v>
      </c>
      <c r="M43" s="30">
        <f>'1. Показатели'!I214</f>
        <v>0.99256041742712064</v>
      </c>
      <c r="N43" s="356">
        <f>'2.ПП'!G121</f>
        <v>95</v>
      </c>
      <c r="O43" s="356">
        <f>'2.ПП'!H121</f>
        <v>59</v>
      </c>
      <c r="P43" s="356">
        <f>'2.ПП'!I121</f>
        <v>26</v>
      </c>
      <c r="Q43" s="356">
        <f>'2.ПП'!J121</f>
        <v>10</v>
      </c>
      <c r="R43" s="369">
        <f t="shared" si="13"/>
        <v>0.75789473684210529</v>
      </c>
      <c r="S43" s="19">
        <f>I43*$I$8+(M43-3%)*$M$8+R43*$R$8</f>
        <v>0.87942819089539359</v>
      </c>
      <c r="T43" s="26" t="str">
        <f>IF(S43&gt;=97%,"Высокая",IF((S43&gt;=92%)*AND(S43&lt;97%),"Средняя",IF((S43&gt;=85%)*AND(S43&lt;92%),"Ниже среднего","Низкая")))</f>
        <v>Ниже среднего</v>
      </c>
      <c r="U43" s="20">
        <f t="shared" si="9"/>
        <v>0.87942819089539359</v>
      </c>
      <c r="V43" s="4">
        <f t="shared" si="4"/>
        <v>0.75789473684210529</v>
      </c>
      <c r="W43" s="116">
        <f t="shared" si="10"/>
        <v>0.16633488616177672</v>
      </c>
    </row>
    <row r="44" spans="1:23" ht="35.25" hidden="1" customHeight="1" outlineLevel="1" x14ac:dyDescent="0.25">
      <c r="A44" s="132" t="s">
        <v>139</v>
      </c>
      <c r="B44" s="200" t="s">
        <v>950</v>
      </c>
      <c r="C44" s="191">
        <f>'1. Показатели'!R223</f>
        <v>11</v>
      </c>
      <c r="D44" s="191">
        <f>'1. Показатели'!S223</f>
        <v>0</v>
      </c>
      <c r="E44" s="191">
        <f>'1. Показатели'!T223</f>
        <v>1</v>
      </c>
      <c r="F44" s="191">
        <f>'1. Показатели'!U223</f>
        <v>7</v>
      </c>
      <c r="G44" s="191">
        <f>'1. Показатели'!V223</f>
        <v>2</v>
      </c>
      <c r="H44" s="191">
        <f>'1. Показатели'!W223</f>
        <v>1</v>
      </c>
      <c r="I44" s="21">
        <f>'1. Показатели'!H223</f>
        <v>0.9560038833628558</v>
      </c>
      <c r="J44" s="22">
        <f>'1. Показатели'!Z223</f>
        <v>1</v>
      </c>
      <c r="K44" s="22">
        <f>'1. Показатели'!AA223</f>
        <v>1</v>
      </c>
      <c r="L44" s="22">
        <f>'1. Показатели'!AB223</f>
        <v>2</v>
      </c>
      <c r="M44" s="21">
        <f>'1. Показатели'!I223</f>
        <v>0.99678195986084372</v>
      </c>
      <c r="N44" s="22">
        <f>'2.ПП'!G126</f>
        <v>20</v>
      </c>
      <c r="O44" s="22">
        <f>'2.ПП'!H126</f>
        <v>13</v>
      </c>
      <c r="P44" s="22">
        <f>'2.ПП'!I126</f>
        <v>5</v>
      </c>
      <c r="Q44" s="22">
        <f>'2.ПП'!J126</f>
        <v>2</v>
      </c>
      <c r="R44" s="21">
        <f t="shared" si="13"/>
        <v>0.77500000000000002</v>
      </c>
      <c r="S44" s="201">
        <f>I44*$I$8+(M44-3%)*$M$8+R44*$R$8</f>
        <v>0.89642485096015201</v>
      </c>
      <c r="T44" s="22" t="str">
        <f>IF(S44&gt;=97%,"Высокая",IF((S44&gt;=92%)*AND(S44&lt;97%),"Средняя",IF((S44&gt;=85%)*AND(S44&lt;92%),"Ниже среднего","Низкая")))</f>
        <v>Ниже среднего</v>
      </c>
      <c r="U44" s="20">
        <f t="shared" si="9"/>
        <v>0.89642485096015201</v>
      </c>
      <c r="V44" s="4">
        <f t="shared" si="4"/>
        <v>0.77500000000000002</v>
      </c>
      <c r="W44" s="116">
        <f t="shared" si="10"/>
        <v>0.18100388336285578</v>
      </c>
    </row>
    <row r="45" spans="1:23" ht="38.25" hidden="1" customHeight="1" outlineLevel="1" x14ac:dyDescent="0.25">
      <c r="A45" s="132" t="s">
        <v>140</v>
      </c>
      <c r="B45" s="200" t="s">
        <v>951</v>
      </c>
      <c r="C45" s="191">
        <f>'1. Показатели'!R235</f>
        <v>6</v>
      </c>
      <c r="D45" s="191">
        <f>'1. Показатели'!S235</f>
        <v>0</v>
      </c>
      <c r="E45" s="191">
        <f>'1. Показатели'!T235</f>
        <v>0</v>
      </c>
      <c r="F45" s="191">
        <f>'1. Показатели'!U235</f>
        <v>5</v>
      </c>
      <c r="G45" s="191">
        <f>'1. Показатели'!V235</f>
        <v>0</v>
      </c>
      <c r="H45" s="191">
        <f>'1. Показатели'!W235</f>
        <v>1</v>
      </c>
      <c r="I45" s="21">
        <f>'1. Показатели'!H235</f>
        <v>0.83333333333333337</v>
      </c>
      <c r="J45" s="22">
        <f>'1. Показатели'!Z235</f>
        <v>0</v>
      </c>
      <c r="K45" s="22">
        <f>'1. Показатели'!AA235</f>
        <v>0</v>
      </c>
      <c r="L45" s="22">
        <f>'1. Показатели'!AB235</f>
        <v>1</v>
      </c>
      <c r="M45" s="21">
        <f>'1. Показатели'!I235</f>
        <v>0</v>
      </c>
      <c r="N45" s="22">
        <f>'2.ПП'!G131</f>
        <v>27</v>
      </c>
      <c r="O45" s="22">
        <f>'2.ПП'!H131</f>
        <v>22</v>
      </c>
      <c r="P45" s="22">
        <f>'2.ПП'!I131</f>
        <v>3</v>
      </c>
      <c r="Q45" s="22">
        <f>'2.ПП'!J131</f>
        <v>2</v>
      </c>
      <c r="R45" s="21">
        <f t="shared" si="13"/>
        <v>0.87037037037037035</v>
      </c>
      <c r="S45" s="201">
        <f>I45*$I$8+(M45-3%)*$M$8+R45*$R$8</f>
        <v>0.54412962962962963</v>
      </c>
      <c r="T45" s="22" t="str">
        <f>IF(S45&gt;=97%,"Высокая",IF((S45&gt;=92%)*AND(S45&lt;97%),"Средняя",IF((S45&gt;=85%)*AND(S45&lt;92%),"Ниже среднего","Низкая")))</f>
        <v>Низкая</v>
      </c>
      <c r="U45" s="20">
        <f t="shared" si="9"/>
        <v>0.54412962962962963</v>
      </c>
      <c r="V45" s="4">
        <f t="shared" si="4"/>
        <v>0.87037037037037035</v>
      </c>
      <c r="W45" s="117">
        <f t="shared" si="10"/>
        <v>-3.7037037037036979E-2</v>
      </c>
    </row>
    <row r="46" spans="1:23" ht="29.25" hidden="1" customHeight="1" outlineLevel="1" x14ac:dyDescent="0.25">
      <c r="A46" s="132" t="s">
        <v>267</v>
      </c>
      <c r="B46" s="200" t="s">
        <v>952</v>
      </c>
      <c r="C46" s="206">
        <f>'1. Показатели'!R242</f>
        <v>2</v>
      </c>
      <c r="D46" s="206">
        <f>'1. Показатели'!S242</f>
        <v>0</v>
      </c>
      <c r="E46" s="206">
        <f>'1. Показатели'!T242</f>
        <v>0</v>
      </c>
      <c r="F46" s="206">
        <f>'1. Показатели'!U242</f>
        <v>2</v>
      </c>
      <c r="G46" s="206">
        <f>'1. Показатели'!V242</f>
        <v>0</v>
      </c>
      <c r="H46" s="206">
        <f>'1. Показатели'!W242</f>
        <v>0</v>
      </c>
      <c r="I46" s="21">
        <f>'1. Показатели'!H242</f>
        <v>1</v>
      </c>
      <c r="J46" s="206">
        <f>'1. Показатели'!Z242</f>
        <v>0</v>
      </c>
      <c r="K46" s="206">
        <f>'1. Показатели'!AA242</f>
        <v>0</v>
      </c>
      <c r="L46" s="206">
        <f>'1. Показатели'!AB242</f>
        <v>0</v>
      </c>
      <c r="M46" s="21">
        <f>'1. Показатели'!I242</f>
        <v>1</v>
      </c>
      <c r="N46" s="22">
        <f>'2.ПП'!G135</f>
        <v>8</v>
      </c>
      <c r="O46" s="22">
        <f>'2.ПП'!H135</f>
        <v>4</v>
      </c>
      <c r="P46" s="22">
        <f>'2.ПП'!I135</f>
        <v>4</v>
      </c>
      <c r="Q46" s="22">
        <f>'2.ПП'!J135</f>
        <v>0</v>
      </c>
      <c r="R46" s="21">
        <f t="shared" si="13"/>
        <v>0.75</v>
      </c>
      <c r="S46" s="201">
        <f>I46*$I$8+(M46-3%)*$M$8+R46*$R$8</f>
        <v>0.90199999999999991</v>
      </c>
      <c r="T46" s="22" t="str">
        <f>IF(S46&gt;=97%,"Высокая",IF((S46&gt;=92%)*AND(S46&lt;97%),"Средняя",IF((S46&gt;=85%)*AND(S46&lt;92%),"Ниже среднего","Низкая")))</f>
        <v>Ниже среднего</v>
      </c>
      <c r="U46" s="20">
        <f t="shared" si="9"/>
        <v>0.90199999999999991</v>
      </c>
      <c r="V46" s="4">
        <f t="shared" si="4"/>
        <v>0.75</v>
      </c>
      <c r="W46" s="116">
        <f t="shared" si="10"/>
        <v>0.25</v>
      </c>
    </row>
    <row r="47" spans="1:23" ht="50.25" hidden="1" customHeight="1" outlineLevel="1" x14ac:dyDescent="0.25">
      <c r="A47" s="132" t="s">
        <v>142</v>
      </c>
      <c r="B47" s="200" t="s">
        <v>1489</v>
      </c>
      <c r="C47" s="191">
        <f>'1. Показатели'!R245</f>
        <v>9</v>
      </c>
      <c r="D47" s="191">
        <f>'1. Показатели'!S245</f>
        <v>1</v>
      </c>
      <c r="E47" s="191">
        <f>'1. Показатели'!T245</f>
        <v>0</v>
      </c>
      <c r="F47" s="191">
        <f>'1. Показатели'!U245</f>
        <v>5</v>
      </c>
      <c r="G47" s="191">
        <f>'1. Показатели'!V245</f>
        <v>0</v>
      </c>
      <c r="H47" s="191">
        <f>'1. Показатели'!W245</f>
        <v>3</v>
      </c>
      <c r="I47" s="21">
        <f>'1. Показатели'!H245</f>
        <v>0.85648148148148151</v>
      </c>
      <c r="J47" s="22">
        <f>'1. Показатели'!Z245</f>
        <v>1</v>
      </c>
      <c r="K47" s="22">
        <f>'1. Показатели'!AA245</f>
        <v>0</v>
      </c>
      <c r="L47" s="22">
        <f>'1. Показатели'!AB245</f>
        <v>0</v>
      </c>
      <c r="M47" s="21">
        <f>'1. Показатели'!I245</f>
        <v>1.0303468606220898</v>
      </c>
      <c r="N47" s="22">
        <f>'2.ПП'!G139</f>
        <v>39</v>
      </c>
      <c r="O47" s="22">
        <f>'2.ПП'!H139</f>
        <v>19</v>
      </c>
      <c r="P47" s="22">
        <f>'2.ПП'!I139</f>
        <v>14</v>
      </c>
      <c r="Q47" s="22">
        <f>'2.ПП'!J139</f>
        <v>6</v>
      </c>
      <c r="R47" s="21">
        <f t="shared" si="13"/>
        <v>0.66666666666666663</v>
      </c>
      <c r="S47" s="201">
        <f t="shared" ref="S47:S52" si="14">I47*$I$8+(M47-3%)*$M$8+R47*$R$8</f>
        <v>0.84039917899550909</v>
      </c>
      <c r="T47" s="22" t="str">
        <f t="shared" ref="T47:T52" si="15">IF(S47&gt;=97%,"Высокая",IF((S47&gt;=92%)*AND(S47&lt;97%),"Средняя",IF((S47&gt;=85%)*AND(S47&lt;92%),"Ниже среднего","Низкая")))</f>
        <v>Низкая</v>
      </c>
      <c r="U47" s="20">
        <f t="shared" si="9"/>
        <v>0.84039917899550909</v>
      </c>
      <c r="V47" s="4">
        <f t="shared" si="4"/>
        <v>0.66666666666666663</v>
      </c>
      <c r="W47" s="116">
        <f t="shared" si="10"/>
        <v>0.18981481481481488</v>
      </c>
    </row>
    <row r="48" spans="1:23" ht="48" hidden="1" customHeight="1" outlineLevel="1" x14ac:dyDescent="0.25">
      <c r="A48" s="132" t="s">
        <v>143</v>
      </c>
      <c r="B48" s="200" t="s">
        <v>953</v>
      </c>
      <c r="C48" s="191">
        <f>'1. Показатели'!R255</f>
        <v>2</v>
      </c>
      <c r="D48" s="191">
        <f>'1. Показатели'!S255</f>
        <v>0</v>
      </c>
      <c r="E48" s="191">
        <f>'1. Показатели'!T255</f>
        <v>0</v>
      </c>
      <c r="F48" s="191">
        <f>'1. Показатели'!U255</f>
        <v>2</v>
      </c>
      <c r="G48" s="191">
        <f>'1. Показатели'!V255</f>
        <v>0</v>
      </c>
      <c r="H48" s="191">
        <f>'1. Показатели'!W255</f>
        <v>0</v>
      </c>
      <c r="I48" s="21">
        <f>'1. Показатели'!H255</f>
        <v>1</v>
      </c>
      <c r="J48" s="22">
        <f>'1. Показатели'!Z255</f>
        <v>2</v>
      </c>
      <c r="K48" s="22">
        <f>'1. Показатели'!AA255</f>
        <v>0</v>
      </c>
      <c r="L48" s="22">
        <f>'1. Показатели'!AB255</f>
        <v>0</v>
      </c>
      <c r="M48" s="21">
        <f>'1. Показатели'!I255</f>
        <v>1.1196668021129623</v>
      </c>
      <c r="N48" s="22">
        <f>'2.ПП'!G144</f>
        <v>1</v>
      </c>
      <c r="O48" s="22">
        <f>'2.ПП'!H144</f>
        <v>1</v>
      </c>
      <c r="P48" s="22">
        <f>'2.ПП'!I144</f>
        <v>0</v>
      </c>
      <c r="Q48" s="22">
        <f>'2.ПП'!J144</f>
        <v>0</v>
      </c>
      <c r="R48" s="21">
        <f t="shared" si="13"/>
        <v>1</v>
      </c>
      <c r="S48" s="201">
        <f t="shared" si="14"/>
        <v>1.0313833807395367</v>
      </c>
      <c r="T48" s="22" t="str">
        <f t="shared" si="15"/>
        <v>Высокая</v>
      </c>
      <c r="U48" s="20">
        <f t="shared" si="9"/>
        <v>1.0313833807395367</v>
      </c>
      <c r="V48" s="4">
        <f t="shared" si="4"/>
        <v>1</v>
      </c>
      <c r="W48" s="117">
        <f t="shared" si="10"/>
        <v>0</v>
      </c>
    </row>
    <row r="49" spans="1:27" ht="36" customHeight="1" collapsed="1" x14ac:dyDescent="0.25">
      <c r="A49" s="17" t="s">
        <v>144</v>
      </c>
      <c r="B49" s="183" t="s">
        <v>1244</v>
      </c>
      <c r="C49" s="109">
        <f>'1. Показатели'!R258</f>
        <v>15</v>
      </c>
      <c r="D49" s="109">
        <f>'1. Показатели'!S258</f>
        <v>0</v>
      </c>
      <c r="E49" s="109">
        <f>'1. Показатели'!T258</f>
        <v>2</v>
      </c>
      <c r="F49" s="109">
        <f>'1. Показатели'!U258</f>
        <v>7</v>
      </c>
      <c r="G49" s="109">
        <f>'1. Показатели'!V258</f>
        <v>4</v>
      </c>
      <c r="H49" s="109">
        <f>'1. Показатели'!W258</f>
        <v>2</v>
      </c>
      <c r="I49" s="19">
        <f>'1. Показатели'!H258</f>
        <v>0.91619202688791102</v>
      </c>
      <c r="J49" s="110">
        <f>'1. Показатели'!Z258</f>
        <v>6</v>
      </c>
      <c r="K49" s="110">
        <f>'1. Показатели'!AA258</f>
        <v>2</v>
      </c>
      <c r="L49" s="110">
        <f>'1. Показатели'!AB258</f>
        <v>5</v>
      </c>
      <c r="M49" s="30">
        <f>'1. Показатели'!I258</f>
        <v>0.9488819467607198</v>
      </c>
      <c r="N49" s="356">
        <f>'2.ПП'!G146</f>
        <v>33</v>
      </c>
      <c r="O49" s="356">
        <f>'2.ПП'!H146</f>
        <v>30</v>
      </c>
      <c r="P49" s="356">
        <f>'2.ПП'!I146</f>
        <v>3</v>
      </c>
      <c r="Q49" s="356">
        <f>'2.ПП'!J146</f>
        <v>0</v>
      </c>
      <c r="R49" s="30">
        <f t="shared" si="13"/>
        <v>0.95454545454545459</v>
      </c>
      <c r="S49" s="30">
        <f t="shared" si="14"/>
        <v>0.93055719852353425</v>
      </c>
      <c r="T49" s="114" t="str">
        <f t="shared" si="15"/>
        <v>Средняя</v>
      </c>
      <c r="U49" s="20">
        <f t="shared" ref="U49:U71" si="16">I49*0.3+(M49-3%)*0.35+R49*0.35</f>
        <v>0.93055719852353425</v>
      </c>
      <c r="V49" s="4">
        <f t="shared" ref="V49:V71" si="17">(O49+0.5*P49)/N49</f>
        <v>0.95454545454545459</v>
      </c>
      <c r="W49" s="117">
        <f t="shared" si="10"/>
        <v>-3.8353427657543571E-2</v>
      </c>
      <c r="AA49"/>
    </row>
    <row r="50" spans="1:27" ht="24.75" hidden="1" customHeight="1" outlineLevel="1" x14ac:dyDescent="0.25">
      <c r="A50" s="132" t="s">
        <v>145</v>
      </c>
      <c r="B50" s="200" t="s">
        <v>954</v>
      </c>
      <c r="C50" s="106">
        <f>'1. Показатели'!R262</f>
        <v>4</v>
      </c>
      <c r="D50" s="106">
        <f>'1. Показатели'!S262</f>
        <v>0</v>
      </c>
      <c r="E50" s="106">
        <f>'1. Показатели'!T262</f>
        <v>0</v>
      </c>
      <c r="F50" s="106">
        <f>'1. Показатели'!U262</f>
        <v>3</v>
      </c>
      <c r="G50" s="106">
        <f>'1. Показатели'!V262</f>
        <v>0</v>
      </c>
      <c r="H50" s="106">
        <f>'1. Показатели'!W262</f>
        <v>1</v>
      </c>
      <c r="I50" s="107">
        <f>'1. Показатели'!H262</f>
        <v>0.92636988599220516</v>
      </c>
      <c r="J50" s="108">
        <f>'1. Показатели'!Z262</f>
        <v>2</v>
      </c>
      <c r="K50" s="108">
        <f>'1. Показатели'!AA262</f>
        <v>0</v>
      </c>
      <c r="L50" s="108">
        <f>'1. Показатели'!AB262</f>
        <v>1</v>
      </c>
      <c r="M50" s="107">
        <f>'1. Показатели'!I262</f>
        <v>1.0605641003791912</v>
      </c>
      <c r="N50" s="22">
        <f>'2.ПП'!G147</f>
        <v>15</v>
      </c>
      <c r="O50" s="22">
        <f>'2.ПП'!H147</f>
        <v>15</v>
      </c>
      <c r="P50" s="22">
        <f>'2.ПП'!I147</f>
        <v>0</v>
      </c>
      <c r="Q50" s="22">
        <f>'2.ПП'!J147</f>
        <v>0</v>
      </c>
      <c r="R50" s="21">
        <f t="shared" si="13"/>
        <v>1</v>
      </c>
      <c r="S50" s="201">
        <f t="shared" si="14"/>
        <v>0.98860840093037849</v>
      </c>
      <c r="T50" s="21" t="str">
        <f t="shared" si="15"/>
        <v>Высокая</v>
      </c>
      <c r="U50" s="20">
        <f t="shared" si="16"/>
        <v>0.98860840093037849</v>
      </c>
      <c r="V50" s="4">
        <f t="shared" si="17"/>
        <v>1</v>
      </c>
      <c r="W50" s="117">
        <f t="shared" si="10"/>
        <v>-7.3630114007794845E-2</v>
      </c>
    </row>
    <row r="51" spans="1:27" ht="24" hidden="1" customHeight="1" outlineLevel="1" x14ac:dyDescent="0.25">
      <c r="A51" s="132" t="s">
        <v>1403</v>
      </c>
      <c r="B51" s="200" t="s">
        <v>955</v>
      </c>
      <c r="C51" s="106">
        <f>'1. Показатели'!R267</f>
        <v>5</v>
      </c>
      <c r="D51" s="106">
        <f>'1. Показатели'!S267</f>
        <v>2</v>
      </c>
      <c r="E51" s="106">
        <f>'1. Показатели'!T267</f>
        <v>0</v>
      </c>
      <c r="F51" s="106">
        <f>'1. Показатели'!U267</f>
        <v>3</v>
      </c>
      <c r="G51" s="106">
        <f>'1. Показатели'!V267</f>
        <v>1</v>
      </c>
      <c r="H51" s="106">
        <f>'1. Показатели'!W267</f>
        <v>1</v>
      </c>
      <c r="I51" s="107">
        <f>'1. Показатели'!H267</f>
        <v>0.86461726044328646</v>
      </c>
      <c r="J51" s="108">
        <f>'1. Показатели'!Z267</f>
        <v>1</v>
      </c>
      <c r="K51" s="108">
        <f>'1. Показатели'!AA267</f>
        <v>2</v>
      </c>
      <c r="L51" s="108">
        <f>'1. Показатели'!AB267</f>
        <v>2</v>
      </c>
      <c r="M51" s="21">
        <f>'1. Показатели'!I267</f>
        <v>0.87549230222217922</v>
      </c>
      <c r="N51" s="22">
        <f>'2.ПП'!G148</f>
        <v>10</v>
      </c>
      <c r="O51" s="22">
        <f>'2.ПП'!H148</f>
        <v>9</v>
      </c>
      <c r="P51" s="22">
        <f>'2.ПП'!I148</f>
        <v>1</v>
      </c>
      <c r="Q51" s="22">
        <f>'2.ПП'!J148</f>
        <v>0</v>
      </c>
      <c r="R51" s="21">
        <f t="shared" si="13"/>
        <v>0.95</v>
      </c>
      <c r="S51" s="201">
        <f t="shared" si="14"/>
        <v>0.8878074839107486</v>
      </c>
      <c r="T51" s="21" t="str">
        <f t="shared" si="15"/>
        <v>Ниже среднего</v>
      </c>
      <c r="U51" s="20">
        <f t="shared" si="16"/>
        <v>0.8878074839107486</v>
      </c>
      <c r="V51" s="4">
        <f t="shared" si="17"/>
        <v>0.95</v>
      </c>
      <c r="W51" s="116">
        <f t="shared" si="10"/>
        <v>-8.5382739556713494E-2</v>
      </c>
    </row>
    <row r="52" spans="1:27" ht="33.75" hidden="1" customHeight="1" outlineLevel="1" x14ac:dyDescent="0.25">
      <c r="A52" s="132" t="s">
        <v>1409</v>
      </c>
      <c r="B52" s="200" t="s">
        <v>956</v>
      </c>
      <c r="C52" s="106">
        <f>'1. Показатели'!R273</f>
        <v>3</v>
      </c>
      <c r="D52" s="106">
        <f>'1. Показатели'!S273</f>
        <v>0</v>
      </c>
      <c r="E52" s="106">
        <f>'1. Показатели'!T273</f>
        <v>1</v>
      </c>
      <c r="F52" s="106">
        <f>'1. Показатели'!U273</f>
        <v>1</v>
      </c>
      <c r="G52" s="106">
        <f>'1. Показатели'!V273</f>
        <v>1</v>
      </c>
      <c r="H52" s="106">
        <f>'1. Показатели'!W273</f>
        <v>0</v>
      </c>
      <c r="I52" s="107">
        <f>'1. Показатели'!H273</f>
        <v>0.98034188034188041</v>
      </c>
      <c r="J52" s="108">
        <f>'1. Показатели'!Z273</f>
        <v>1</v>
      </c>
      <c r="K52" s="108">
        <f>'1. Показатели'!AA273</f>
        <v>0</v>
      </c>
      <c r="L52" s="108">
        <f>'1. Показатели'!AB273</f>
        <v>1</v>
      </c>
      <c r="M52" s="107">
        <f>'1. Показатели'!I273</f>
        <v>1.0293459375092029</v>
      </c>
      <c r="N52" s="22">
        <f>'2.ПП'!G149</f>
        <v>5</v>
      </c>
      <c r="O52" s="22">
        <f>'2.ПП'!H149</f>
        <v>4</v>
      </c>
      <c r="P52" s="22">
        <f>'2.ПП'!I149</f>
        <v>1</v>
      </c>
      <c r="Q52" s="22">
        <f>'2.ПП'!J149</f>
        <v>0</v>
      </c>
      <c r="R52" s="21">
        <f t="shared" si="13"/>
        <v>0.9</v>
      </c>
      <c r="S52" s="201">
        <f t="shared" si="14"/>
        <v>0.95887364223078508</v>
      </c>
      <c r="T52" s="21" t="str">
        <f t="shared" si="15"/>
        <v>Средняя</v>
      </c>
      <c r="U52" s="20">
        <f t="shared" si="16"/>
        <v>0.95887364223078508</v>
      </c>
      <c r="V52" s="4">
        <f t="shared" si="17"/>
        <v>0.9</v>
      </c>
      <c r="W52" s="117">
        <f t="shared" si="10"/>
        <v>8.034188034188039E-2</v>
      </c>
    </row>
    <row r="53" spans="1:27" ht="36" hidden="1" customHeight="1" outlineLevel="1" x14ac:dyDescent="0.25">
      <c r="A53" s="132" t="s">
        <v>1490</v>
      </c>
      <c r="B53" s="200" t="s">
        <v>957</v>
      </c>
      <c r="C53" s="107" t="s">
        <v>41</v>
      </c>
      <c r="D53" s="107" t="s">
        <v>41</v>
      </c>
      <c r="E53" s="107" t="s">
        <v>41</v>
      </c>
      <c r="F53" s="107" t="s">
        <v>41</v>
      </c>
      <c r="G53" s="107" t="s">
        <v>41</v>
      </c>
      <c r="H53" s="107" t="s">
        <v>41</v>
      </c>
      <c r="I53" s="107" t="s">
        <v>41</v>
      </c>
      <c r="J53" s="107" t="s">
        <v>41</v>
      </c>
      <c r="K53" s="107" t="s">
        <v>41</v>
      </c>
      <c r="L53" s="107" t="s">
        <v>41</v>
      </c>
      <c r="M53" s="21" t="s">
        <v>41</v>
      </c>
      <c r="N53" s="22">
        <f>'2.ПП'!G150</f>
        <v>3</v>
      </c>
      <c r="O53" s="22">
        <f>'2.ПП'!H150</f>
        <v>2</v>
      </c>
      <c r="P53" s="22">
        <f>'2.ПП'!I150</f>
        <v>1</v>
      </c>
      <c r="Q53" s="22">
        <f>'2.ПП'!J150</f>
        <v>0</v>
      </c>
      <c r="R53" s="21">
        <f t="shared" si="13"/>
        <v>0.83333333333333337</v>
      </c>
      <c r="S53" s="23" t="s">
        <v>41</v>
      </c>
      <c r="T53" s="365" t="s">
        <v>41</v>
      </c>
      <c r="U53" s="367" t="s">
        <v>41</v>
      </c>
      <c r="V53" s="4">
        <f t="shared" si="17"/>
        <v>0.83333333333333337</v>
      </c>
      <c r="W53" s="368" t="s">
        <v>41</v>
      </c>
    </row>
    <row r="54" spans="1:27" ht="33.75" customHeight="1" collapsed="1" x14ac:dyDescent="0.25">
      <c r="A54" s="17" t="s">
        <v>146</v>
      </c>
      <c r="B54" s="183" t="s">
        <v>1004</v>
      </c>
      <c r="C54" s="109">
        <f>'1. Показатели'!R277</f>
        <v>36</v>
      </c>
      <c r="D54" s="109">
        <f>'1. Показатели'!S277</f>
        <v>1</v>
      </c>
      <c r="E54" s="109">
        <f>'1. Показатели'!T277</f>
        <v>2</v>
      </c>
      <c r="F54" s="109">
        <f>'1. Показатели'!U277</f>
        <v>23</v>
      </c>
      <c r="G54" s="109">
        <f>'1. Показатели'!V277</f>
        <v>3</v>
      </c>
      <c r="H54" s="109">
        <f>'1. Показатели'!W277</f>
        <v>7</v>
      </c>
      <c r="I54" s="369">
        <f>'1. Показатели'!H277</f>
        <v>0.87066709684945953</v>
      </c>
      <c r="J54" s="356">
        <f>'1. Показатели'!Z277</f>
        <v>4</v>
      </c>
      <c r="K54" s="356">
        <f>'1. Показатели'!AA277</f>
        <v>8</v>
      </c>
      <c r="L54" s="356">
        <f>'1. Показатели'!AB277</f>
        <v>9</v>
      </c>
      <c r="M54" s="30">
        <f>'1. Показатели'!I277</f>
        <v>0.92861713137035329</v>
      </c>
      <c r="N54" s="356">
        <f>'2.ПП'!G151</f>
        <v>59</v>
      </c>
      <c r="O54" s="356">
        <f>'2.ПП'!H151</f>
        <v>45</v>
      </c>
      <c r="P54" s="356">
        <f>'2.ПП'!I151</f>
        <v>9</v>
      </c>
      <c r="Q54" s="356">
        <f>'2.ПП'!J151</f>
        <v>5</v>
      </c>
      <c r="R54" s="369">
        <f t="shared" si="13"/>
        <v>0.83898305084745761</v>
      </c>
      <c r="S54" s="19">
        <f>I54*$I$8+(M54-3%)*$M$8+R54*$R$8</f>
        <v>0.86936019283107158</v>
      </c>
      <c r="T54" s="26" t="str">
        <f>IF(S54&gt;=97%,"Высокая",IF((S54&gt;=92%)*AND(S54&lt;97%),"Средняя",IF((S54&gt;=85%)*AND(S54&lt;92%),"Ниже среднего","Низкая")))</f>
        <v>Ниже среднего</v>
      </c>
      <c r="U54" s="20">
        <f t="shared" si="16"/>
        <v>0.86936019283107158</v>
      </c>
      <c r="V54" s="4">
        <f t="shared" si="17"/>
        <v>0.83898305084745761</v>
      </c>
      <c r="W54" s="116">
        <f t="shared" si="10"/>
        <v>3.168404600200192E-2</v>
      </c>
    </row>
    <row r="55" spans="1:27" ht="24.75" hidden="1" customHeight="1" outlineLevel="1" x14ac:dyDescent="0.25">
      <c r="A55" s="132" t="s">
        <v>461</v>
      </c>
      <c r="B55" s="200" t="s">
        <v>203</v>
      </c>
      <c r="C55" s="191">
        <f>'1. Показатели'!R285</f>
        <v>6</v>
      </c>
      <c r="D55" s="191">
        <f>'1. Показатели'!S285</f>
        <v>0</v>
      </c>
      <c r="E55" s="191">
        <f>'1. Показатели'!T285</f>
        <v>0</v>
      </c>
      <c r="F55" s="191">
        <f>'1. Показатели'!U285</f>
        <v>4</v>
      </c>
      <c r="G55" s="191">
        <f>'1. Показатели'!V285</f>
        <v>1</v>
      </c>
      <c r="H55" s="191">
        <f>'1. Показатели'!W285</f>
        <v>0</v>
      </c>
      <c r="I55" s="21">
        <f>'1. Показатели'!H285</f>
        <v>0.82678132678132688</v>
      </c>
      <c r="J55" s="22">
        <f>'1. Показатели'!Z285</f>
        <v>2</v>
      </c>
      <c r="K55" s="22">
        <f>'1. Показатели'!AA285</f>
        <v>0</v>
      </c>
      <c r="L55" s="22">
        <f>'1. Показатели'!AB285</f>
        <v>0</v>
      </c>
      <c r="M55" s="21">
        <f>'1. Показатели'!I285</f>
        <v>1.1117302851967512</v>
      </c>
      <c r="N55" s="22">
        <f>'2.ПП'!G156</f>
        <v>14</v>
      </c>
      <c r="O55" s="22">
        <f>'2.ПП'!H156</f>
        <v>9</v>
      </c>
      <c r="P55" s="22">
        <f>'2.ПП'!I156</f>
        <v>4</v>
      </c>
      <c r="Q55" s="22">
        <f>'2.ПП'!J156</f>
        <v>1</v>
      </c>
      <c r="R55" s="21">
        <f t="shared" si="13"/>
        <v>0.7857142857142857</v>
      </c>
      <c r="S55" s="201">
        <f>I55*$I$8+(M55-3%)*$M$8+R55*$R$8</f>
        <v>0.90163999785326099</v>
      </c>
      <c r="T55" s="21" t="str">
        <f>IF(S55&gt;=97%,"Высокая",IF((S55&gt;=92%)*AND(S55&lt;97%),"Средняя",IF((S55&gt;=85%)*AND(S55&lt;92%),"Ниже среднего","Низкая")))</f>
        <v>Ниже среднего</v>
      </c>
      <c r="U55" s="20">
        <f t="shared" si="16"/>
        <v>0.90163999785326099</v>
      </c>
      <c r="V55" s="4">
        <f t="shared" si="17"/>
        <v>0.7857142857142857</v>
      </c>
      <c r="W55" s="117">
        <f t="shared" si="10"/>
        <v>4.1067041067041177E-2</v>
      </c>
    </row>
    <row r="56" spans="1:27" ht="26.25" hidden="1" customHeight="1" outlineLevel="1" x14ac:dyDescent="0.25">
      <c r="A56" s="132" t="s">
        <v>469</v>
      </c>
      <c r="B56" s="200" t="s">
        <v>205</v>
      </c>
      <c r="C56" s="191">
        <f>'1. Показатели'!R292</f>
        <v>6</v>
      </c>
      <c r="D56" s="191">
        <f>'1. Показатели'!S292</f>
        <v>0</v>
      </c>
      <c r="E56" s="191">
        <f>'1. Показатели'!T292</f>
        <v>1</v>
      </c>
      <c r="F56" s="191">
        <f>'1. Показатели'!U292</f>
        <v>3</v>
      </c>
      <c r="G56" s="191">
        <f>'1. Показатели'!V292</f>
        <v>1</v>
      </c>
      <c r="H56" s="191">
        <f>'1. Показатели'!W292</f>
        <v>1</v>
      </c>
      <c r="I56" s="21">
        <f>'1. Показатели'!H292</f>
        <v>0.96676040154813736</v>
      </c>
      <c r="J56" s="22">
        <f>'1. Показатели'!Z292</f>
        <v>0</v>
      </c>
      <c r="K56" s="22">
        <f>'1. Показатели'!AA292</f>
        <v>0</v>
      </c>
      <c r="L56" s="22">
        <f>'1. Показатели'!AB292</f>
        <v>6</v>
      </c>
      <c r="M56" s="21">
        <f>'1. Показатели'!I292</f>
        <v>0.7333155719244383</v>
      </c>
      <c r="N56" s="22">
        <f>'2.ПП'!G157</f>
        <v>22</v>
      </c>
      <c r="O56" s="22">
        <f>'2.ПП'!H157</f>
        <v>17</v>
      </c>
      <c r="P56" s="22">
        <f>'2.ПП'!I157</f>
        <v>3</v>
      </c>
      <c r="Q56" s="22">
        <f>'2.ПП'!J157</f>
        <v>2</v>
      </c>
      <c r="R56" s="21">
        <f t="shared" si="13"/>
        <v>0.84090909090909094</v>
      </c>
      <c r="S56" s="201">
        <f>I56*$I$8+(M56-3%)*$M$8+R56*$R$8</f>
        <v>0.83050675245617633</v>
      </c>
      <c r="T56" s="21" t="str">
        <f>IF(S56&gt;=97%,"Высокая",IF((S56&gt;=92%)*AND(S56&lt;97%),"Средняя",IF((S56&gt;=85%)*AND(S56&lt;92%),"Ниже среднего","Низкая")))</f>
        <v>Низкая</v>
      </c>
      <c r="U56" s="20">
        <f t="shared" si="16"/>
        <v>0.83050675245617633</v>
      </c>
      <c r="V56" s="4">
        <f t="shared" si="17"/>
        <v>0.84090909090909094</v>
      </c>
      <c r="W56" s="116">
        <f t="shared" si="10"/>
        <v>0.12585131063904642</v>
      </c>
    </row>
    <row r="57" spans="1:27" ht="27" hidden="1" customHeight="1" outlineLevel="1" x14ac:dyDescent="0.25">
      <c r="A57" s="392" t="s">
        <v>473</v>
      </c>
      <c r="B57" s="200" t="s">
        <v>207</v>
      </c>
      <c r="C57" s="191">
        <f>'1. Показатели'!R299</f>
        <v>5</v>
      </c>
      <c r="D57" s="191">
        <f>'1. Показатели'!S299</f>
        <v>0</v>
      </c>
      <c r="E57" s="191">
        <f>'1. Показатели'!T299</f>
        <v>0</v>
      </c>
      <c r="F57" s="191">
        <f>'1. Показатели'!U299</f>
        <v>4</v>
      </c>
      <c r="G57" s="191">
        <f>'1. Показатели'!V299</f>
        <v>0</v>
      </c>
      <c r="H57" s="191">
        <f>'1. Показатели'!W299</f>
        <v>1</v>
      </c>
      <c r="I57" s="21">
        <f>'1. Показатели'!H299</f>
        <v>0.69198823651003938</v>
      </c>
      <c r="J57" s="22">
        <f>'1. Показатели'!Z299</f>
        <v>1</v>
      </c>
      <c r="K57" s="22">
        <f>'1. Показатели'!AA299</f>
        <v>1</v>
      </c>
      <c r="L57" s="22">
        <f>'1. Показатели'!AB299</f>
        <v>0</v>
      </c>
      <c r="M57" s="21">
        <f>'1. Показатели'!I299</f>
        <v>1.0096872405203432</v>
      </c>
      <c r="N57" s="22">
        <f>'2.ПП'!G161</f>
        <v>8</v>
      </c>
      <c r="O57" s="22">
        <f>'2.ПП'!H161</f>
        <v>7</v>
      </c>
      <c r="P57" s="22">
        <f>'2.ПП'!I161</f>
        <v>0</v>
      </c>
      <c r="Q57" s="22">
        <f>'2.ПП'!J161</f>
        <v>1</v>
      </c>
      <c r="R57" s="21">
        <f t="shared" si="13"/>
        <v>0.875</v>
      </c>
      <c r="S57" s="201">
        <f>I57*$I$8+(M57-3%)*$M$8+R57*$R$8</f>
        <v>0.85673700513513174</v>
      </c>
      <c r="T57" s="21" t="str">
        <f>IF(S57&gt;=97%,"Высокая",IF((S57&gt;=92%)*AND(S57&lt;97%),"Средняя",IF((S57&gt;=85%)*AND(S57&lt;92%),"Ниже среднего","Низкая")))</f>
        <v>Ниже среднего</v>
      </c>
      <c r="U57" s="20">
        <f t="shared" si="16"/>
        <v>0.85673700513513174</v>
      </c>
      <c r="V57" s="4">
        <f t="shared" si="17"/>
        <v>0.875</v>
      </c>
      <c r="W57" s="117">
        <f t="shared" si="10"/>
        <v>-0.18301176348996062</v>
      </c>
    </row>
    <row r="58" spans="1:27" ht="24.75" hidden="1" customHeight="1" outlineLevel="1" x14ac:dyDescent="0.25">
      <c r="A58" s="392" t="s">
        <v>979</v>
      </c>
      <c r="B58" s="200" t="s">
        <v>209</v>
      </c>
      <c r="C58" s="21" t="s">
        <v>41</v>
      </c>
      <c r="D58" s="21" t="s">
        <v>41</v>
      </c>
      <c r="E58" s="21" t="s">
        <v>41</v>
      </c>
      <c r="F58" s="21" t="s">
        <v>41</v>
      </c>
      <c r="G58" s="21" t="s">
        <v>41</v>
      </c>
      <c r="H58" s="21" t="s">
        <v>41</v>
      </c>
      <c r="I58" s="21" t="s">
        <v>41</v>
      </c>
      <c r="J58" s="21" t="s">
        <v>41</v>
      </c>
      <c r="K58" s="21" t="s">
        <v>41</v>
      </c>
      <c r="L58" s="21" t="s">
        <v>41</v>
      </c>
      <c r="M58" s="21" t="s">
        <v>41</v>
      </c>
      <c r="N58" s="22">
        <f>'2.ПП'!G163</f>
        <v>3</v>
      </c>
      <c r="O58" s="22">
        <f>'2.ПП'!H163</f>
        <v>3</v>
      </c>
      <c r="P58" s="22">
        <f>'2.ПП'!I163</f>
        <v>0</v>
      </c>
      <c r="Q58" s="22">
        <f>'2.ПП'!J163</f>
        <v>0</v>
      </c>
      <c r="R58" s="21">
        <f t="shared" si="13"/>
        <v>1</v>
      </c>
      <c r="S58" s="201" t="s">
        <v>41</v>
      </c>
      <c r="T58" s="365" t="s">
        <v>41</v>
      </c>
      <c r="U58" s="20" t="e">
        <f t="shared" si="16"/>
        <v>#VALUE!</v>
      </c>
      <c r="V58" s="4">
        <f t="shared" si="17"/>
        <v>1</v>
      </c>
      <c r="W58" s="116" t="e">
        <f t="shared" si="10"/>
        <v>#VALUE!</v>
      </c>
    </row>
    <row r="59" spans="1:27" hidden="1" outlineLevel="1" x14ac:dyDescent="0.25">
      <c r="A59" s="392" t="s">
        <v>1421</v>
      </c>
      <c r="B59" s="200" t="s">
        <v>211</v>
      </c>
      <c r="C59" s="191">
        <f>'1. Показатели'!R306</f>
        <v>8</v>
      </c>
      <c r="D59" s="191">
        <f>'1. Показатели'!S306</f>
        <v>0</v>
      </c>
      <c r="E59" s="191">
        <f>'1. Показатели'!T306</f>
        <v>0</v>
      </c>
      <c r="F59" s="191">
        <f>'1. Показатели'!U306</f>
        <v>6</v>
      </c>
      <c r="G59" s="191">
        <f>'1. Показатели'!V306</f>
        <v>0</v>
      </c>
      <c r="H59" s="191">
        <f>'1. Показатели'!W306</f>
        <v>2</v>
      </c>
      <c r="I59" s="21">
        <f>'1. Показатели'!H306</f>
        <v>0.8545454545454545</v>
      </c>
      <c r="J59" s="22">
        <f>'1. Показатели'!Z306</f>
        <v>1</v>
      </c>
      <c r="K59" s="22">
        <f>'1. Показатели'!AA306</f>
        <v>2</v>
      </c>
      <c r="L59" s="22">
        <f>'1. Показатели'!AB306</f>
        <v>0</v>
      </c>
      <c r="M59" s="21">
        <f>'1. Показатели'!I306</f>
        <v>1.0175438596491226</v>
      </c>
      <c r="N59" s="22">
        <f>'2.ПП'!G166</f>
        <v>5</v>
      </c>
      <c r="O59" s="22">
        <f>'2.ПП'!H166</f>
        <v>2</v>
      </c>
      <c r="P59" s="22">
        <f>'2.ПП'!I166</f>
        <v>2</v>
      </c>
      <c r="Q59" s="22">
        <f>'2.ПП'!J166</f>
        <v>1</v>
      </c>
      <c r="R59" s="21">
        <f t="shared" si="13"/>
        <v>0.6</v>
      </c>
      <c r="S59" s="201">
        <f t="shared" ref="S59:S66" si="18">I59*$I$8+(M59-3%)*$M$8+R59*$R$8</f>
        <v>0.81200398724082923</v>
      </c>
      <c r="T59" s="21" t="str">
        <f t="shared" ref="T59:T66" si="19">IF(S59&gt;=97%,"Высокая",IF((S59&gt;=92%)*AND(S59&lt;97%),"Средняя",IF((S59&gt;=85%)*AND(S59&lt;92%),"Ниже среднего","Низкая")))</f>
        <v>Низкая</v>
      </c>
      <c r="U59" s="20">
        <f t="shared" si="16"/>
        <v>0.81200398724082923</v>
      </c>
      <c r="V59" s="4">
        <f t="shared" si="17"/>
        <v>0.6</v>
      </c>
      <c r="W59" s="117">
        <f t="shared" si="10"/>
        <v>0.25454545454545452</v>
      </c>
    </row>
    <row r="60" spans="1:27" ht="39" hidden="1" customHeight="1" outlineLevel="1" x14ac:dyDescent="0.25">
      <c r="A60" s="392" t="s">
        <v>1429</v>
      </c>
      <c r="B60" s="200" t="s">
        <v>212</v>
      </c>
      <c r="C60" s="191">
        <f>'1. Показатели'!R315</f>
        <v>3</v>
      </c>
      <c r="D60" s="191">
        <f>'1. Показатели'!S315</f>
        <v>0</v>
      </c>
      <c r="E60" s="191">
        <f>'1. Показатели'!T315</f>
        <v>0</v>
      </c>
      <c r="F60" s="191">
        <f>'1. Показатели'!U315</f>
        <v>3</v>
      </c>
      <c r="G60" s="191">
        <f>'1. Показатели'!V315</f>
        <v>0</v>
      </c>
      <c r="H60" s="191">
        <f>'1. Показатели'!W315</f>
        <v>0</v>
      </c>
      <c r="I60" s="21">
        <f>'1. Показатели'!H315</f>
        <v>1</v>
      </c>
      <c r="J60" s="22">
        <f>'1. Показатели'!Z315</f>
        <v>0</v>
      </c>
      <c r="K60" s="22">
        <f>'1. Показатели'!AA315</f>
        <v>3</v>
      </c>
      <c r="L60" s="22">
        <f>'1. Показатели'!AB315</f>
        <v>0</v>
      </c>
      <c r="M60" s="21">
        <f>'1. Показатели'!I315</f>
        <v>1.0039407528196767</v>
      </c>
      <c r="N60" s="22">
        <f>'2.ПП'!G171</f>
        <v>7</v>
      </c>
      <c r="O60" s="22">
        <f>'2.ПП'!H171</f>
        <v>7</v>
      </c>
      <c r="P60" s="22">
        <f>'2.ПП'!I171</f>
        <v>0</v>
      </c>
      <c r="Q60" s="22">
        <f>'2.ПП'!J171</f>
        <v>0</v>
      </c>
      <c r="R60" s="21">
        <f t="shared" si="13"/>
        <v>1</v>
      </c>
      <c r="S60" s="201">
        <f t="shared" si="18"/>
        <v>0.99087926348688671</v>
      </c>
      <c r="T60" s="21" t="str">
        <f t="shared" si="19"/>
        <v>Высокая</v>
      </c>
      <c r="U60" s="20">
        <f t="shared" si="16"/>
        <v>0.99087926348688671</v>
      </c>
      <c r="V60" s="4">
        <f t="shared" si="17"/>
        <v>1</v>
      </c>
      <c r="W60" s="117">
        <f t="shared" si="10"/>
        <v>0</v>
      </c>
    </row>
    <row r="61" spans="1:27" ht="34.5" customHeight="1" collapsed="1" x14ac:dyDescent="0.25">
      <c r="A61" s="17" t="s">
        <v>268</v>
      </c>
      <c r="B61" s="183" t="s">
        <v>1030</v>
      </c>
      <c r="C61" s="109">
        <f>'1. Показатели'!R319</f>
        <v>26</v>
      </c>
      <c r="D61" s="109">
        <f>'1. Показатели'!S319</f>
        <v>1</v>
      </c>
      <c r="E61" s="109">
        <f>'1. Показатели'!T319</f>
        <v>3</v>
      </c>
      <c r="F61" s="109">
        <f>'1. Показатели'!U319</f>
        <v>16</v>
      </c>
      <c r="G61" s="109">
        <f>'1. Показатели'!V319</f>
        <v>4</v>
      </c>
      <c r="H61" s="109">
        <f>'1. Показатели'!W319</f>
        <v>2</v>
      </c>
      <c r="I61" s="30">
        <f>'1. Показатели'!H319</f>
        <v>0.93782062754386541</v>
      </c>
      <c r="J61" s="110">
        <f>'1. Показатели'!Z319</f>
        <v>2</v>
      </c>
      <c r="K61" s="110">
        <f>'1. Показатели'!AA319</f>
        <v>5</v>
      </c>
      <c r="L61" s="110">
        <f>'1. Показатели'!AB319</f>
        <v>5</v>
      </c>
      <c r="M61" s="18">
        <f>'1. Показатели'!I319</f>
        <v>0.98890264998738886</v>
      </c>
      <c r="N61" s="356">
        <f>'2.ПП'!G174</f>
        <v>37</v>
      </c>
      <c r="O61" s="356">
        <f>'2.ПП'!H174</f>
        <v>33</v>
      </c>
      <c r="P61" s="356">
        <f>'2.ПП'!I174</f>
        <v>4</v>
      </c>
      <c r="Q61" s="356">
        <f>'2.ПП'!J174</f>
        <v>0</v>
      </c>
      <c r="R61" s="30">
        <f t="shared" si="13"/>
        <v>0.94594594594594594</v>
      </c>
      <c r="S61" s="30">
        <f t="shared" si="18"/>
        <v>0.94804319683982685</v>
      </c>
      <c r="T61" s="114" t="str">
        <f t="shared" si="19"/>
        <v>Средняя</v>
      </c>
      <c r="U61" s="20">
        <f t="shared" si="16"/>
        <v>0.94804319683982685</v>
      </c>
      <c r="V61" s="4">
        <f t="shared" si="17"/>
        <v>0.94594594594594594</v>
      </c>
      <c r="W61" s="116">
        <f t="shared" si="10"/>
        <v>-8.125318402080528E-3</v>
      </c>
    </row>
    <row r="62" spans="1:27" ht="27" hidden="1" customHeight="1" outlineLevel="1" x14ac:dyDescent="0.25">
      <c r="A62" s="132" t="s">
        <v>148</v>
      </c>
      <c r="B62" s="200" t="s">
        <v>980</v>
      </c>
      <c r="C62" s="191">
        <f>'1. Показатели'!R323</f>
        <v>5</v>
      </c>
      <c r="D62" s="191">
        <f>'1. Показатели'!S323</f>
        <v>0</v>
      </c>
      <c r="E62" s="191">
        <f>'1. Показатели'!T323</f>
        <v>0</v>
      </c>
      <c r="F62" s="191">
        <f>'1. Показатели'!U323</f>
        <v>3</v>
      </c>
      <c r="G62" s="191">
        <f>'1. Показатели'!V323</f>
        <v>2</v>
      </c>
      <c r="H62" s="191">
        <f>'1. Показатели'!W323</f>
        <v>0</v>
      </c>
      <c r="I62" s="21">
        <f>'1. Показатели'!H323</f>
        <v>0.97358818050969442</v>
      </c>
      <c r="J62" s="22">
        <f>'1. Показатели'!Z323</f>
        <v>0</v>
      </c>
      <c r="K62" s="22">
        <f>'1. Показатели'!AA323</f>
        <v>0</v>
      </c>
      <c r="L62" s="22">
        <f>'1. Показатели'!AB323</f>
        <v>2</v>
      </c>
      <c r="M62" s="21">
        <f>'1. Показатели'!I323</f>
        <v>0.9239593314170127</v>
      </c>
      <c r="N62" s="22">
        <f>'2.ПП'!G179</f>
        <v>20</v>
      </c>
      <c r="O62" s="22">
        <f>'2.ПП'!H179</f>
        <v>19</v>
      </c>
      <c r="P62" s="22">
        <f>'2.ПП'!I179</f>
        <v>1</v>
      </c>
      <c r="Q62" s="22">
        <f>'2.ПП'!J179</f>
        <v>0</v>
      </c>
      <c r="R62" s="21">
        <f t="shared" si="13"/>
        <v>0.97499999999999998</v>
      </c>
      <c r="S62" s="201">
        <f t="shared" si="18"/>
        <v>0.94621222014886275</v>
      </c>
      <c r="T62" s="21" t="str">
        <f t="shared" si="19"/>
        <v>Средняя</v>
      </c>
      <c r="U62" s="20">
        <f t="shared" si="16"/>
        <v>0.94621222014886275</v>
      </c>
      <c r="V62" s="4">
        <f t="shared" si="17"/>
        <v>0.97499999999999998</v>
      </c>
      <c r="W62" s="117">
        <f t="shared" si="10"/>
        <v>-1.4118194903055548E-3</v>
      </c>
    </row>
    <row r="63" spans="1:27" ht="36.75" hidden="1" customHeight="1" outlineLevel="1" x14ac:dyDescent="0.25">
      <c r="A63" s="132" t="s">
        <v>149</v>
      </c>
      <c r="B63" s="200" t="s">
        <v>959</v>
      </c>
      <c r="C63" s="191">
        <f>'1. Показатели'!R329</f>
        <v>8</v>
      </c>
      <c r="D63" s="191">
        <f>'1. Показатели'!S329</f>
        <v>0</v>
      </c>
      <c r="E63" s="191">
        <f>'1. Показатели'!T329</f>
        <v>2</v>
      </c>
      <c r="F63" s="191">
        <f>'1. Показатели'!U329</f>
        <v>6</v>
      </c>
      <c r="G63" s="191">
        <f>'1. Показатели'!V329</f>
        <v>0</v>
      </c>
      <c r="H63" s="191">
        <f>'1. Показатели'!W329</f>
        <v>0</v>
      </c>
      <c r="I63" s="21">
        <f>'1. Показатели'!H329</f>
        <v>1</v>
      </c>
      <c r="J63" s="22">
        <f>'1. Показатели'!Z329</f>
        <v>0</v>
      </c>
      <c r="K63" s="22">
        <f>'1. Показатели'!AA329</f>
        <v>0</v>
      </c>
      <c r="L63" s="22">
        <f>'1. Показатели'!AB329</f>
        <v>2</v>
      </c>
      <c r="M63" s="21">
        <f>'1. Показатели'!I329</f>
        <v>0.81359099981854466</v>
      </c>
      <c r="N63" s="22">
        <f>'2.ПП'!G183</f>
        <v>4</v>
      </c>
      <c r="O63" s="22">
        <f>'2.ПП'!H183</f>
        <v>4</v>
      </c>
      <c r="P63" s="22">
        <f>'2.ПП'!I183</f>
        <v>0</v>
      </c>
      <c r="Q63" s="22">
        <f>'2.ПП'!J183</f>
        <v>0</v>
      </c>
      <c r="R63" s="21">
        <f t="shared" si="13"/>
        <v>1</v>
      </c>
      <c r="S63" s="201">
        <f t="shared" si="18"/>
        <v>0.9242568499364906</v>
      </c>
      <c r="T63" s="21" t="str">
        <f t="shared" si="19"/>
        <v>Средняя</v>
      </c>
      <c r="U63" s="20">
        <f t="shared" si="16"/>
        <v>0.9242568499364906</v>
      </c>
      <c r="V63" s="4">
        <f t="shared" si="17"/>
        <v>1</v>
      </c>
      <c r="W63" s="116">
        <f t="shared" si="10"/>
        <v>0</v>
      </c>
    </row>
    <row r="64" spans="1:27" ht="34.5" hidden="1" customHeight="1" outlineLevel="1" x14ac:dyDescent="0.25">
      <c r="A64" s="392" t="s">
        <v>150</v>
      </c>
      <c r="B64" s="200" t="s">
        <v>960</v>
      </c>
      <c r="C64" s="191">
        <f>'1. Показатели'!R338</f>
        <v>8</v>
      </c>
      <c r="D64" s="191">
        <f>'1. Показатели'!S338</f>
        <v>0</v>
      </c>
      <c r="E64" s="191">
        <f>'1. Показатели'!T338</f>
        <v>1</v>
      </c>
      <c r="F64" s="191">
        <f>'1. Показатели'!U338</f>
        <v>4</v>
      </c>
      <c r="G64" s="191">
        <f>'1. Показатели'!V338</f>
        <v>1</v>
      </c>
      <c r="H64" s="191">
        <f>'1. Показатели'!W338</f>
        <v>2</v>
      </c>
      <c r="I64" s="21">
        <f>'1. Показатели'!H338</f>
        <v>0.83229212956273535</v>
      </c>
      <c r="J64" s="22">
        <f>'1. Показатели'!Z338</f>
        <v>2</v>
      </c>
      <c r="K64" s="22">
        <f>'1. Показатели'!AA338</f>
        <v>3</v>
      </c>
      <c r="L64" s="22">
        <f>'1. Показатели'!AB338</f>
        <v>1</v>
      </c>
      <c r="M64" s="21">
        <f>'1. Показатели'!I338</f>
        <v>1.0662698771651498</v>
      </c>
      <c r="N64" s="22">
        <f>'2.ПП'!G187</f>
        <v>9</v>
      </c>
      <c r="O64" s="22">
        <f>'2.ПП'!H187</f>
        <v>6</v>
      </c>
      <c r="P64" s="22">
        <f>'2.ПП'!I187</f>
        <v>3</v>
      </c>
      <c r="Q64" s="22">
        <f>'2.ПП'!J187</f>
        <v>0</v>
      </c>
      <c r="R64" s="21">
        <f t="shared" si="13"/>
        <v>0.83333333333333337</v>
      </c>
      <c r="S64" s="201">
        <f t="shared" si="18"/>
        <v>0.90404876254328959</v>
      </c>
      <c r="T64" s="21" t="str">
        <f t="shared" si="19"/>
        <v>Ниже среднего</v>
      </c>
      <c r="U64" s="20">
        <f t="shared" si="16"/>
        <v>0.90404876254328959</v>
      </c>
      <c r="V64" s="4">
        <f t="shared" si="17"/>
        <v>0.83333333333333337</v>
      </c>
      <c r="W64" s="116">
        <f t="shared" si="10"/>
        <v>-1.0412037705980204E-3</v>
      </c>
    </row>
    <row r="65" spans="1:23" ht="41.25" hidden="1" customHeight="1" outlineLevel="1" x14ac:dyDescent="0.25">
      <c r="A65" s="392" t="s">
        <v>269</v>
      </c>
      <c r="B65" s="200" t="s">
        <v>961</v>
      </c>
      <c r="C65" s="191" t="s">
        <v>41</v>
      </c>
      <c r="D65" s="191" t="s">
        <v>41</v>
      </c>
      <c r="E65" s="191" t="s">
        <v>41</v>
      </c>
      <c r="F65" s="191" t="s">
        <v>41</v>
      </c>
      <c r="G65" s="191" t="s">
        <v>41</v>
      </c>
      <c r="H65" s="191" t="s">
        <v>41</v>
      </c>
      <c r="I65" s="21" t="s">
        <v>41</v>
      </c>
      <c r="J65" s="22" t="s">
        <v>41</v>
      </c>
      <c r="K65" s="22" t="s">
        <v>41</v>
      </c>
      <c r="L65" s="22" t="s">
        <v>41</v>
      </c>
      <c r="M65" s="21" t="s">
        <v>41</v>
      </c>
      <c r="N65" s="22">
        <f>'2.ПП'!G189</f>
        <v>1</v>
      </c>
      <c r="O65" s="22">
        <f>'2.ПП'!H189</f>
        <v>1</v>
      </c>
      <c r="P65" s="22">
        <f>'2.ПП'!I189</f>
        <v>0</v>
      </c>
      <c r="Q65" s="22">
        <f>'2.ПП'!J189</f>
        <v>0</v>
      </c>
      <c r="R65" s="21">
        <f t="shared" si="13"/>
        <v>1</v>
      </c>
      <c r="S65" s="201" t="s">
        <v>41</v>
      </c>
      <c r="T65" s="21" t="s">
        <v>41</v>
      </c>
      <c r="U65" s="20" t="e">
        <f t="shared" si="16"/>
        <v>#VALUE!</v>
      </c>
      <c r="V65" s="4">
        <f t="shared" si="17"/>
        <v>1</v>
      </c>
      <c r="W65" s="116" t="e">
        <f t="shared" si="10"/>
        <v>#VALUE!</v>
      </c>
    </row>
    <row r="66" spans="1:23" ht="20.25" hidden="1" customHeight="1" outlineLevel="1" x14ac:dyDescent="0.25">
      <c r="A66" s="392" t="s">
        <v>151</v>
      </c>
      <c r="B66" s="200" t="s">
        <v>1302</v>
      </c>
      <c r="C66" s="206">
        <f>'1. Показатели'!R347</f>
        <v>2</v>
      </c>
      <c r="D66" s="206">
        <f>'1. Показатели'!S347</f>
        <v>0</v>
      </c>
      <c r="E66" s="206">
        <f>'1. Показатели'!T347</f>
        <v>0</v>
      </c>
      <c r="F66" s="206">
        <f>'1. Показатели'!U347</f>
        <v>2</v>
      </c>
      <c r="G66" s="206">
        <f>'1. Показатели'!V347</f>
        <v>0</v>
      </c>
      <c r="H66" s="206">
        <f>'1. Показатели'!W347</f>
        <v>0</v>
      </c>
      <c r="I66" s="21">
        <f>'1. Показатели'!H347</f>
        <v>1</v>
      </c>
      <c r="J66" s="206">
        <f>'1. Показатели'!Z347</f>
        <v>0</v>
      </c>
      <c r="K66" s="206">
        <f>'1. Показатели'!AA347</f>
        <v>0</v>
      </c>
      <c r="L66" s="206">
        <f>'1. Показатели'!AB347</f>
        <v>0</v>
      </c>
      <c r="M66" s="21">
        <f>'1. Показатели'!I347</f>
        <v>1</v>
      </c>
      <c r="N66" s="22">
        <f>'2.ПП'!G191</f>
        <v>3</v>
      </c>
      <c r="O66" s="22">
        <f>'2.ПП'!H191</f>
        <v>3</v>
      </c>
      <c r="P66" s="22">
        <f>'2.ПП'!I191</f>
        <v>0</v>
      </c>
      <c r="Q66" s="22">
        <f>'2.ПП'!J191</f>
        <v>0</v>
      </c>
      <c r="R66" s="21">
        <f t="shared" si="13"/>
        <v>1</v>
      </c>
      <c r="S66" s="201">
        <f t="shared" si="18"/>
        <v>0.98949999999999994</v>
      </c>
      <c r="T66" s="21" t="str">
        <f t="shared" si="19"/>
        <v>Высокая</v>
      </c>
      <c r="U66" s="20">
        <f t="shared" si="16"/>
        <v>0.98949999999999994</v>
      </c>
      <c r="V66" s="4">
        <f t="shared" si="17"/>
        <v>1</v>
      </c>
      <c r="W66" s="116">
        <f t="shared" si="10"/>
        <v>0</v>
      </c>
    </row>
    <row r="67" spans="1:23" ht="26.25" customHeight="1" collapsed="1" x14ac:dyDescent="0.25">
      <c r="A67" s="17" t="s">
        <v>154</v>
      </c>
      <c r="B67" s="183" t="s">
        <v>1298</v>
      </c>
      <c r="C67" s="355">
        <f>'1. Показатели'!R350</f>
        <v>27</v>
      </c>
      <c r="D67" s="355">
        <f>'1. Показатели'!S350</f>
        <v>0</v>
      </c>
      <c r="E67" s="355">
        <f>'1. Показатели'!T350</f>
        <v>4</v>
      </c>
      <c r="F67" s="355">
        <f>'1. Показатели'!U350</f>
        <v>21</v>
      </c>
      <c r="G67" s="355">
        <f>'1. Показатели'!V350</f>
        <v>1</v>
      </c>
      <c r="H67" s="355">
        <f>'1. Показатели'!W350</f>
        <v>1</v>
      </c>
      <c r="I67" s="18">
        <f>'1. Показатели'!H350</f>
        <v>0.9896108393563714</v>
      </c>
      <c r="J67" s="356">
        <f>'1. Показатели'!Z350</f>
        <v>7</v>
      </c>
      <c r="K67" s="356">
        <f>'1. Показатели'!AA350</f>
        <v>2</v>
      </c>
      <c r="L67" s="356">
        <f>'1. Показатели'!AB350</f>
        <v>3</v>
      </c>
      <c r="M67" s="18">
        <f>'1. Показатели'!I350</f>
        <v>1.0049742397094212</v>
      </c>
      <c r="N67" s="374">
        <f>'2.ПП'!G196</f>
        <v>72</v>
      </c>
      <c r="O67" s="374">
        <f>'2.ПП'!H196</f>
        <v>48</v>
      </c>
      <c r="P67" s="374">
        <f>'2.ПП'!I196</f>
        <v>14</v>
      </c>
      <c r="Q67" s="374">
        <f>'2.ПП'!J196</f>
        <v>10</v>
      </c>
      <c r="R67" s="369">
        <f t="shared" si="13"/>
        <v>0.76388888888888884</v>
      </c>
      <c r="S67" s="369">
        <f>I67*$I$8+(M67-3%)*$M$8+R67*$R$8</f>
        <v>0.90548534681631987</v>
      </c>
      <c r="T67" s="443" t="str">
        <f>IF(S67&gt;=97%,"Высокая",IF((S67&gt;=92%)*AND(S67&lt;97%),"Средняя",IF((S67&gt;=85%)*AND(S67&lt;92%),"Ниже среднего","Низкая")))</f>
        <v>Ниже среднего</v>
      </c>
      <c r="U67" s="20">
        <f t="shared" si="16"/>
        <v>0.90548534681631987</v>
      </c>
      <c r="V67" s="4">
        <f t="shared" si="17"/>
        <v>0.76388888888888884</v>
      </c>
      <c r="W67" s="117">
        <f t="shared" si="10"/>
        <v>0.22572195046748256</v>
      </c>
    </row>
    <row r="68" spans="1:23" ht="27.75" hidden="1" customHeight="1" outlineLevel="1" x14ac:dyDescent="0.25">
      <c r="A68" s="132" t="s">
        <v>156</v>
      </c>
      <c r="B68" s="200" t="s">
        <v>963</v>
      </c>
      <c r="C68" s="191">
        <f>'1. Показатели'!R356</f>
        <v>9</v>
      </c>
      <c r="D68" s="191">
        <f>'1. Показатели'!S356</f>
        <v>0</v>
      </c>
      <c r="E68" s="191">
        <f>'1. Показатели'!T356</f>
        <v>0</v>
      </c>
      <c r="F68" s="191">
        <f>'1. Показатели'!U356</f>
        <v>8</v>
      </c>
      <c r="G68" s="191">
        <f>'1. Показатели'!V356</f>
        <v>1</v>
      </c>
      <c r="H68" s="191">
        <f>'1. Показатели'!W356</f>
        <v>0</v>
      </c>
      <c r="I68" s="21">
        <f>'1. Показатели'!H356</f>
        <v>0.99074175124595287</v>
      </c>
      <c r="J68" s="22">
        <f>'1. Показатели'!Z356</f>
        <v>1</v>
      </c>
      <c r="K68" s="22">
        <f>'1. Показатели'!AA356</f>
        <v>1</v>
      </c>
      <c r="L68" s="22">
        <f>'1. Показатели'!AB356</f>
        <v>2</v>
      </c>
      <c r="M68" s="21">
        <f>'1. Показатели'!I356</f>
        <v>0.81418189260522211</v>
      </c>
      <c r="N68" s="22">
        <f>'2.ПП'!G200</f>
        <v>47</v>
      </c>
      <c r="O68" s="22">
        <f>'2.ПП'!H200</f>
        <v>26</v>
      </c>
      <c r="P68" s="22">
        <f>'2.ПП'!I200</f>
        <v>12</v>
      </c>
      <c r="Q68" s="22">
        <f>'2.ПП'!J200</f>
        <v>9</v>
      </c>
      <c r="R68" s="21">
        <f t="shared" si="13"/>
        <v>0.68085106382978722</v>
      </c>
      <c r="S68" s="201">
        <f>I68*$I$8+(M68-3%)*$M$8+R68*$R$8</f>
        <v>0.80998406012603918</v>
      </c>
      <c r="T68" s="22" t="str">
        <f>IF(S68&gt;=97%,"Высокая",IF((S68&gt;=92%)*AND(S68&lt;97%),"Средняя",IF((S68&gt;=85%)*AND(S68&lt;92%),"Ниже среднего","Низкая")))</f>
        <v>Низкая</v>
      </c>
      <c r="U68" s="20">
        <f t="shared" si="16"/>
        <v>0.80998406012603918</v>
      </c>
      <c r="V68" s="4">
        <f t="shared" si="17"/>
        <v>0.68085106382978722</v>
      </c>
      <c r="W68" s="117">
        <f t="shared" si="10"/>
        <v>0.30989068741616566</v>
      </c>
    </row>
    <row r="69" spans="1:23" ht="36.75" hidden="1" customHeight="1" outlineLevel="1" x14ac:dyDescent="0.25">
      <c r="A69" s="132" t="s">
        <v>157</v>
      </c>
      <c r="B69" s="200" t="s">
        <v>964</v>
      </c>
      <c r="C69" s="191">
        <f>'1. Показатели'!R366</f>
        <v>7</v>
      </c>
      <c r="D69" s="191">
        <f>'1. Показатели'!S366</f>
        <v>0</v>
      </c>
      <c r="E69" s="191">
        <f>'1. Показатели'!T366</f>
        <v>1</v>
      </c>
      <c r="F69" s="191">
        <f>'1. Показатели'!U366</f>
        <v>6</v>
      </c>
      <c r="G69" s="191">
        <f>'1. Показатели'!V366</f>
        <v>0</v>
      </c>
      <c r="H69" s="191">
        <f>'1. Показатели'!W366</f>
        <v>0</v>
      </c>
      <c r="I69" s="21">
        <f>'1. Показатели'!H366</f>
        <v>1</v>
      </c>
      <c r="J69" s="22">
        <f>'1. Показатели'!Z366</f>
        <v>0</v>
      </c>
      <c r="K69" s="22">
        <f>'1. Показатели'!AA366</f>
        <v>0</v>
      </c>
      <c r="L69" s="22">
        <f>'1. Показатели'!AB366</f>
        <v>0</v>
      </c>
      <c r="M69" s="21">
        <v>1</v>
      </c>
      <c r="N69" s="22">
        <f>'2.ПП'!G204</f>
        <v>11</v>
      </c>
      <c r="O69" s="22">
        <f>'2.ПП'!H204</f>
        <v>11</v>
      </c>
      <c r="P69" s="22">
        <f>'2.ПП'!I204</f>
        <v>0</v>
      </c>
      <c r="Q69" s="22">
        <f>'2.ПП'!J204</f>
        <v>0</v>
      </c>
      <c r="R69" s="21">
        <f t="shared" si="13"/>
        <v>1</v>
      </c>
      <c r="S69" s="201">
        <f>I69*$I$8+(M69-3%)*$M$8+R69*$R$8</f>
        <v>0.98949999999999994</v>
      </c>
      <c r="T69" s="22" t="str">
        <f>IF(S69&gt;=97%,"Высокая",IF((S69&gt;=92%)*AND(S69&lt;97%),"Средняя",IF((S69&gt;=85%)*AND(S69&lt;92%),"Ниже среднего","Низкая")))</f>
        <v>Высокая</v>
      </c>
      <c r="U69" s="20">
        <f t="shared" si="16"/>
        <v>0.98949999999999994</v>
      </c>
      <c r="V69" s="4">
        <f t="shared" si="17"/>
        <v>1</v>
      </c>
      <c r="W69" s="117">
        <f t="shared" si="10"/>
        <v>0</v>
      </c>
    </row>
    <row r="70" spans="1:23" ht="36.75" hidden="1" customHeight="1" outlineLevel="1" x14ac:dyDescent="0.25">
      <c r="A70" s="132" t="s">
        <v>158</v>
      </c>
      <c r="B70" s="200" t="s">
        <v>221</v>
      </c>
      <c r="C70" s="191">
        <f>'1. Показатели'!R374</f>
        <v>6</v>
      </c>
      <c r="D70" s="191">
        <f>'1. Показатели'!S374</f>
        <v>0</v>
      </c>
      <c r="E70" s="191">
        <f>'1. Показатели'!T374</f>
        <v>2</v>
      </c>
      <c r="F70" s="191">
        <f>'1. Показатели'!U374</f>
        <v>3</v>
      </c>
      <c r="G70" s="191">
        <f>'1. Показатели'!V374</f>
        <v>0</v>
      </c>
      <c r="H70" s="191">
        <f>'1. Показатели'!W374</f>
        <v>1</v>
      </c>
      <c r="I70" s="21">
        <f>'1. Показатели'!H374</f>
        <v>0.96713615023474186</v>
      </c>
      <c r="J70" s="22">
        <f>'1. Показатели'!Z374</f>
        <v>4</v>
      </c>
      <c r="K70" s="22">
        <f>'1. Показатели'!AA374</f>
        <v>1</v>
      </c>
      <c r="L70" s="22">
        <f>'1. Показатели'!AB374</f>
        <v>0</v>
      </c>
      <c r="M70" s="21">
        <f>'1. Показатели'!I374</f>
        <v>1.1424691358024692</v>
      </c>
      <c r="N70" s="22">
        <f>'2.ПП'!G207</f>
        <v>10</v>
      </c>
      <c r="O70" s="22">
        <f>'2.ПП'!H207</f>
        <v>7</v>
      </c>
      <c r="P70" s="22">
        <f>'2.ПП'!I207</f>
        <v>2</v>
      </c>
      <c r="Q70" s="22">
        <f>'2.ПП'!J207</f>
        <v>1</v>
      </c>
      <c r="R70" s="21">
        <f t="shared" si="13"/>
        <v>0.8</v>
      </c>
      <c r="S70" s="201">
        <f>I70*$I$8+(M70-3%)*$M$8+R70*$R$8</f>
        <v>0.95950504260128677</v>
      </c>
      <c r="T70" s="22" t="str">
        <f>IF(S70&gt;=97%,"Высокая",IF((S70&gt;=92%)*AND(S70&lt;97%),"Средняя",IF((S70&gt;=85%)*AND(S70&lt;92%),"Ниже среднего","Низкая")))</f>
        <v>Средняя</v>
      </c>
      <c r="U70" s="20">
        <f t="shared" si="16"/>
        <v>0.95950504260128677</v>
      </c>
      <c r="V70" s="4">
        <f t="shared" si="17"/>
        <v>0.8</v>
      </c>
      <c r="W70" s="117">
        <f t="shared" si="10"/>
        <v>0.16713615023474182</v>
      </c>
    </row>
    <row r="71" spans="1:23" ht="28.5" hidden="1" customHeight="1" outlineLevel="1" x14ac:dyDescent="0.25">
      <c r="A71" s="132" t="s">
        <v>159</v>
      </c>
      <c r="B71" s="200" t="s">
        <v>189</v>
      </c>
      <c r="C71" s="21" t="s">
        <v>41</v>
      </c>
      <c r="D71" s="21" t="s">
        <v>41</v>
      </c>
      <c r="E71" s="21" t="s">
        <v>41</v>
      </c>
      <c r="F71" s="21" t="s">
        <v>41</v>
      </c>
      <c r="G71" s="21" t="s">
        <v>41</v>
      </c>
      <c r="H71" s="21" t="s">
        <v>41</v>
      </c>
      <c r="I71" s="21" t="s">
        <v>41</v>
      </c>
      <c r="J71" s="21" t="s">
        <v>41</v>
      </c>
      <c r="K71" s="21" t="s">
        <v>41</v>
      </c>
      <c r="L71" s="21" t="s">
        <v>41</v>
      </c>
      <c r="M71" s="21" t="s">
        <v>41</v>
      </c>
      <c r="N71" s="22">
        <f>'2.ПП'!G208</f>
        <v>4</v>
      </c>
      <c r="O71" s="22">
        <f>'2.ПП'!H208</f>
        <v>4</v>
      </c>
      <c r="P71" s="22">
        <f>'2.ПП'!I208</f>
        <v>0</v>
      </c>
      <c r="Q71" s="22">
        <f>'2.ПП'!J208</f>
        <v>0</v>
      </c>
      <c r="R71" s="21">
        <f t="shared" si="13"/>
        <v>1</v>
      </c>
      <c r="S71" s="23" t="s">
        <v>41</v>
      </c>
      <c r="T71" s="365" t="s">
        <v>41</v>
      </c>
      <c r="U71" s="20" t="e">
        <f t="shared" si="16"/>
        <v>#VALUE!</v>
      </c>
      <c r="V71" s="4">
        <f t="shared" si="17"/>
        <v>1</v>
      </c>
      <c r="W71" s="116" t="e">
        <f t="shared" si="10"/>
        <v>#VALUE!</v>
      </c>
    </row>
    <row r="72" spans="1:23" ht="27.75" customHeight="1" collapsed="1" x14ac:dyDescent="0.25">
      <c r="A72" s="17" t="s">
        <v>160</v>
      </c>
      <c r="B72" s="183" t="s">
        <v>1006</v>
      </c>
      <c r="C72" s="355">
        <f>'1. Показатели'!R381</f>
        <v>25</v>
      </c>
      <c r="D72" s="355">
        <f>'1. Показатели'!S381</f>
        <v>8</v>
      </c>
      <c r="E72" s="355">
        <f>'1. Показатели'!T381</f>
        <v>2</v>
      </c>
      <c r="F72" s="355">
        <f>'1. Показатели'!U381</f>
        <v>15</v>
      </c>
      <c r="G72" s="355">
        <f>'1. Показатели'!V381</f>
        <v>0</v>
      </c>
      <c r="H72" s="355">
        <f>'1. Показатели'!W381</f>
        <v>0</v>
      </c>
      <c r="I72" s="359">
        <f>'1. Показатели'!H381</f>
        <v>1</v>
      </c>
      <c r="J72" s="356">
        <f>'1. Показатели'!Z381</f>
        <v>0</v>
      </c>
      <c r="K72" s="356">
        <f>'1. Показатели'!AA381</f>
        <v>0</v>
      </c>
      <c r="L72" s="356">
        <f>'1. Показатели'!AB381</f>
        <v>1</v>
      </c>
      <c r="M72" s="358">
        <f>'1. Показатели'!I381</f>
        <v>0.91642755002509546</v>
      </c>
      <c r="N72" s="356">
        <f>'2.ПП'!G209</f>
        <v>49</v>
      </c>
      <c r="O72" s="356">
        <f>'2.ПП'!H209</f>
        <v>46</v>
      </c>
      <c r="P72" s="356">
        <f>'2.ПП'!I209</f>
        <v>2</v>
      </c>
      <c r="Q72" s="356">
        <f>'2.ПП'!J209</f>
        <v>1</v>
      </c>
      <c r="R72" s="360">
        <f t="shared" ref="R72:R85" si="20">(O72+0.5*P72)/N72</f>
        <v>0.95918367346938771</v>
      </c>
      <c r="S72" s="360">
        <f>I72*$I$8+(M72-3%)*$M$8+R72*$R$8</f>
        <v>0.94596392822306896</v>
      </c>
      <c r="T72" s="357" t="str">
        <f>IF(S72&gt;=97%,"Высокая",IF((S72&gt;=92%)*AND(S72&lt;97%),"Средняя",IF((S72&gt;=85%)*AND(S72&lt;92%),"Ниже среднего","Низкая")))</f>
        <v>Средняя</v>
      </c>
      <c r="U72" s="20">
        <f t="shared" ref="U72:U86" si="21">I72*0.3+(M72-3%)*0.35+R72*0.35</f>
        <v>0.94596392822306896</v>
      </c>
      <c r="V72" s="4">
        <f t="shared" ref="V72:V86" si="22">(O72+0.5*P72)/N72</f>
        <v>0.95918367346938771</v>
      </c>
      <c r="W72" s="116">
        <f t="shared" ref="W72:W86" si="23">I72-R72</f>
        <v>4.081632653061229E-2</v>
      </c>
    </row>
    <row r="73" spans="1:23" ht="25.5" hidden="1" customHeight="1" outlineLevel="1" x14ac:dyDescent="0.25">
      <c r="A73" s="132" t="s">
        <v>161</v>
      </c>
      <c r="B73" s="199" t="s">
        <v>966</v>
      </c>
      <c r="C73" s="106">
        <f>'1. Показатели'!R386</f>
        <v>11</v>
      </c>
      <c r="D73" s="106">
        <f>'1. Показатели'!S386</f>
        <v>1</v>
      </c>
      <c r="E73" s="106">
        <f>'1. Показатели'!T386</f>
        <v>1</v>
      </c>
      <c r="F73" s="106">
        <f>'1. Показатели'!U386</f>
        <v>9</v>
      </c>
      <c r="G73" s="106">
        <f>'1. Показатели'!V386</f>
        <v>0</v>
      </c>
      <c r="H73" s="106">
        <f>'1. Показатели'!W386</f>
        <v>0</v>
      </c>
      <c r="I73" s="107">
        <f>'1. Показатели'!H386</f>
        <v>1</v>
      </c>
      <c r="J73" s="108">
        <f>'1. Показатели'!Z386</f>
        <v>0</v>
      </c>
      <c r="K73" s="108">
        <f>'1. Показатели'!AA386</f>
        <v>0</v>
      </c>
      <c r="L73" s="108">
        <f>'1. Показатели'!AB386</f>
        <v>0</v>
      </c>
      <c r="M73" s="107">
        <f>'1. Показатели'!I386</f>
        <v>1</v>
      </c>
      <c r="N73" s="22">
        <f>'2.ПП'!G213</f>
        <v>8</v>
      </c>
      <c r="O73" s="22">
        <f>'2.ПП'!H213</f>
        <v>8</v>
      </c>
      <c r="P73" s="22">
        <f>'2.ПП'!I213</f>
        <v>0</v>
      </c>
      <c r="Q73" s="22">
        <f>'2.ПП'!J213</f>
        <v>0</v>
      </c>
      <c r="R73" s="21">
        <f t="shared" si="20"/>
        <v>1</v>
      </c>
      <c r="S73" s="201">
        <f>I73*$I$8+(M73-3%)*$M$8+R73*$R$8</f>
        <v>0.98949999999999994</v>
      </c>
      <c r="T73" s="21" t="str">
        <f>IF(S73&gt;=97%,"Высокая",IF((S73&gt;=92%)*AND(S73&lt;97%),"Средняя",IF((S73&gt;=85%)*AND(S73&lt;92%),"Ниже среднего","Низкая")))</f>
        <v>Высокая</v>
      </c>
      <c r="U73" s="20">
        <f t="shared" si="21"/>
        <v>0.98949999999999994</v>
      </c>
      <c r="V73" s="4">
        <f t="shared" si="22"/>
        <v>1</v>
      </c>
      <c r="W73" s="116">
        <f t="shared" si="23"/>
        <v>0</v>
      </c>
    </row>
    <row r="74" spans="1:23" ht="27.75" hidden="1" customHeight="1" outlineLevel="1" x14ac:dyDescent="0.25">
      <c r="A74" s="132" t="s">
        <v>162</v>
      </c>
      <c r="B74" s="200" t="s">
        <v>10</v>
      </c>
      <c r="C74" s="106">
        <f>'1. Показатели'!R398</f>
        <v>4</v>
      </c>
      <c r="D74" s="106">
        <f>'1. Показатели'!S398</f>
        <v>3</v>
      </c>
      <c r="E74" s="106">
        <f>'1. Показатели'!T398</f>
        <v>1</v>
      </c>
      <c r="F74" s="106">
        <f>'1. Показатели'!U398</f>
        <v>0</v>
      </c>
      <c r="G74" s="106">
        <f>'1. Показатели'!V398</f>
        <v>0</v>
      </c>
      <c r="H74" s="106">
        <f>'1. Показатели'!W398</f>
        <v>0</v>
      </c>
      <c r="I74" s="107">
        <f>'1. Показатели'!H398</f>
        <v>1</v>
      </c>
      <c r="J74" s="108">
        <f>'1. Показатели'!Z398</f>
        <v>0</v>
      </c>
      <c r="K74" s="108">
        <f>'1. Показатели'!AA398</f>
        <v>0</v>
      </c>
      <c r="L74" s="108">
        <f>'1. Показатели'!AB398</f>
        <v>0</v>
      </c>
      <c r="M74" s="107">
        <f>'1. Показатели'!I398</f>
        <v>1</v>
      </c>
      <c r="N74" s="22">
        <f>'2.ПП'!G215</f>
        <v>19</v>
      </c>
      <c r="O74" s="22">
        <f>'2.ПП'!H215</f>
        <v>17</v>
      </c>
      <c r="P74" s="22">
        <f>'2.ПП'!I215</f>
        <v>2</v>
      </c>
      <c r="Q74" s="22">
        <f>'2.ПП'!J215</f>
        <v>0</v>
      </c>
      <c r="R74" s="21">
        <f t="shared" si="20"/>
        <v>0.94736842105263153</v>
      </c>
      <c r="S74" s="201">
        <f>I74*$I$8+(M74-3%)*$M$8+R74*$R$8</f>
        <v>0.97107894736842093</v>
      </c>
      <c r="T74" s="21" t="str">
        <f>IF(S74&gt;=97%,"Высокая",IF((S74&gt;=92%)*AND(S74&lt;97%),"Средняя",IF((S74&gt;=85%)*AND(S74&lt;92%),"Ниже среднего","Низкая")))</f>
        <v>Высокая</v>
      </c>
      <c r="U74" s="20">
        <f t="shared" si="21"/>
        <v>0.97107894736842093</v>
      </c>
      <c r="V74" s="4">
        <f t="shared" si="22"/>
        <v>0.94736842105263153</v>
      </c>
      <c r="W74" s="116">
        <f t="shared" si="23"/>
        <v>5.2631578947368474E-2</v>
      </c>
    </row>
    <row r="75" spans="1:23" ht="32.25" hidden="1" customHeight="1" outlineLevel="1" x14ac:dyDescent="0.25">
      <c r="A75" s="392" t="s">
        <v>163</v>
      </c>
      <c r="B75" s="200" t="s">
        <v>1015</v>
      </c>
      <c r="C75" s="106">
        <f>'1. Показатели'!R403</f>
        <v>3</v>
      </c>
      <c r="D75" s="106">
        <f>'1. Показатели'!S403</f>
        <v>1</v>
      </c>
      <c r="E75" s="106">
        <f>'1. Показатели'!T403</f>
        <v>0</v>
      </c>
      <c r="F75" s="106">
        <f>'1. Показатели'!U403</f>
        <v>2</v>
      </c>
      <c r="G75" s="106">
        <f>'1. Показатели'!V403</f>
        <v>0</v>
      </c>
      <c r="H75" s="106">
        <f>'1. Показатели'!W403</f>
        <v>0</v>
      </c>
      <c r="I75" s="107">
        <f>'1. Показатели'!H403</f>
        <v>1</v>
      </c>
      <c r="J75" s="108">
        <f>'1. Показатели'!Z403</f>
        <v>0</v>
      </c>
      <c r="K75" s="108">
        <f>'1. Показатели'!AA403</f>
        <v>0</v>
      </c>
      <c r="L75" s="108">
        <f>'1. Показатели'!AB403</f>
        <v>0</v>
      </c>
      <c r="M75" s="21">
        <f>'1. Показатели'!I403</f>
        <v>1</v>
      </c>
      <c r="N75" s="22">
        <f>'2.ПП'!G219</f>
        <v>9</v>
      </c>
      <c r="O75" s="22">
        <f>'2.ПП'!H219</f>
        <v>8</v>
      </c>
      <c r="P75" s="22">
        <f>'2.ПП'!I219</f>
        <v>0</v>
      </c>
      <c r="Q75" s="22">
        <f>'2.ПП'!J219</f>
        <v>1</v>
      </c>
      <c r="R75" s="21">
        <f t="shared" si="20"/>
        <v>0.88888888888888884</v>
      </c>
      <c r="S75" s="201">
        <f>I75*$I$8+(M75-3%)*$M$8+R75*$R$8</f>
        <v>0.95061111111111107</v>
      </c>
      <c r="T75" s="21" t="str">
        <f>IF(S75&gt;=97%,"Высокая",IF((S75&gt;=92%)*AND(S75&lt;97%),"Средняя",IF((S75&gt;=85%)*AND(S75&lt;92%),"Ниже среднего","Низкая")))</f>
        <v>Средняя</v>
      </c>
      <c r="U75" s="20">
        <f t="shared" si="21"/>
        <v>0.95061111111111107</v>
      </c>
      <c r="V75" s="4">
        <f t="shared" si="22"/>
        <v>0.88888888888888884</v>
      </c>
      <c r="W75" s="117">
        <f t="shared" si="23"/>
        <v>0.11111111111111116</v>
      </c>
    </row>
    <row r="76" spans="1:23" ht="29.25" hidden="1" customHeight="1" outlineLevel="1" x14ac:dyDescent="0.25">
      <c r="A76" s="392" t="s">
        <v>270</v>
      </c>
      <c r="B76" s="200" t="s">
        <v>1038</v>
      </c>
      <c r="C76" s="106">
        <f>'1. Показатели'!R407</f>
        <v>3</v>
      </c>
      <c r="D76" s="106">
        <f>'1. Показатели'!S407</f>
        <v>0</v>
      </c>
      <c r="E76" s="106">
        <f>'1. Показатели'!T407</f>
        <v>0</v>
      </c>
      <c r="F76" s="106">
        <f>'1. Показатели'!U407</f>
        <v>3</v>
      </c>
      <c r="G76" s="106">
        <f>'1. Показатели'!V407</f>
        <v>0</v>
      </c>
      <c r="H76" s="106">
        <f>'1. Показатели'!W407</f>
        <v>0</v>
      </c>
      <c r="I76" s="107">
        <f>'1. Показатели'!H407</f>
        <v>1</v>
      </c>
      <c r="J76" s="108">
        <f>'1. Показатели'!Z407</f>
        <v>0</v>
      </c>
      <c r="K76" s="108">
        <f>'1. Показатели'!AA407</f>
        <v>0</v>
      </c>
      <c r="L76" s="108">
        <f>'1. Показатели'!AB407</f>
        <v>0</v>
      </c>
      <c r="M76" s="21">
        <f>'1. Показатели'!I407</f>
        <v>1</v>
      </c>
      <c r="N76" s="22">
        <f>'2.ПП'!G223</f>
        <v>4</v>
      </c>
      <c r="O76" s="22">
        <f>'2.ПП'!H223</f>
        <v>4</v>
      </c>
      <c r="P76" s="22">
        <f>'2.ПП'!I223</f>
        <v>0</v>
      </c>
      <c r="Q76" s="22">
        <f>'2.ПП'!J223</f>
        <v>0</v>
      </c>
      <c r="R76" s="21">
        <f t="shared" si="20"/>
        <v>1</v>
      </c>
      <c r="S76" s="201">
        <f>I76*$I$8+(M76-3%)*$M$8+R76*$R$8</f>
        <v>0.98949999999999994</v>
      </c>
      <c r="T76" s="21" t="str">
        <f>IF(S76&gt;=97%,"Высокая",IF((S76&gt;=92%)*AND(S76&lt;97%),"Средняя",IF((S76&gt;=85%)*AND(S76&lt;92%),"Ниже среднего","Низкая")))</f>
        <v>Высокая</v>
      </c>
      <c r="U76" s="20">
        <f t="shared" si="21"/>
        <v>0.98949999999999994</v>
      </c>
      <c r="V76" s="4">
        <f t="shared" si="22"/>
        <v>1</v>
      </c>
      <c r="W76" s="116">
        <f t="shared" si="23"/>
        <v>0</v>
      </c>
    </row>
    <row r="77" spans="1:23" ht="27" hidden="1" customHeight="1" outlineLevel="1" x14ac:dyDescent="0.25">
      <c r="A77" s="392" t="s">
        <v>1491</v>
      </c>
      <c r="B77" s="200" t="s">
        <v>1016</v>
      </c>
      <c r="C77" s="191" t="s">
        <v>41</v>
      </c>
      <c r="D77" s="191" t="s">
        <v>41</v>
      </c>
      <c r="E77" s="191" t="s">
        <v>41</v>
      </c>
      <c r="F77" s="191" t="s">
        <v>41</v>
      </c>
      <c r="G77" s="191" t="s">
        <v>41</v>
      </c>
      <c r="H77" s="191" t="s">
        <v>41</v>
      </c>
      <c r="I77" s="191" t="s">
        <v>41</v>
      </c>
      <c r="J77" s="191" t="s">
        <v>41</v>
      </c>
      <c r="K77" s="191" t="s">
        <v>41</v>
      </c>
      <c r="L77" s="191" t="s">
        <v>41</v>
      </c>
      <c r="M77" s="191" t="s">
        <v>41</v>
      </c>
      <c r="N77" s="22">
        <f>'2.ПП'!G225</f>
        <v>9</v>
      </c>
      <c r="O77" s="22">
        <f>'2.ПП'!H225</f>
        <v>9</v>
      </c>
      <c r="P77" s="22">
        <f>'2.ПП'!I225</f>
        <v>0</v>
      </c>
      <c r="Q77" s="22">
        <f>'2.ПП'!J225</f>
        <v>0</v>
      </c>
      <c r="R77" s="21">
        <f t="shared" si="20"/>
        <v>1</v>
      </c>
      <c r="S77" s="201" t="s">
        <v>41</v>
      </c>
      <c r="T77" s="21" t="s">
        <v>41</v>
      </c>
      <c r="U77" s="20" t="e">
        <f t="shared" si="21"/>
        <v>#VALUE!</v>
      </c>
      <c r="V77" s="4">
        <f t="shared" si="22"/>
        <v>1</v>
      </c>
      <c r="W77" s="116" t="e">
        <f t="shared" si="23"/>
        <v>#VALUE!</v>
      </c>
    </row>
    <row r="78" spans="1:23" ht="27" customHeight="1" collapsed="1" x14ac:dyDescent="0.25">
      <c r="A78" s="17" t="s">
        <v>164</v>
      </c>
      <c r="B78" s="183" t="s">
        <v>1007</v>
      </c>
      <c r="C78" s="109">
        <f>'1. Показатели'!R411</f>
        <v>11</v>
      </c>
      <c r="D78" s="109">
        <f>'1. Показатели'!S411</f>
        <v>0</v>
      </c>
      <c r="E78" s="109">
        <f>'1. Показатели'!T411</f>
        <v>1</v>
      </c>
      <c r="F78" s="109">
        <f>'1. Показатели'!U411</f>
        <v>9</v>
      </c>
      <c r="G78" s="109">
        <f>'1. Показатели'!V411</f>
        <v>1</v>
      </c>
      <c r="H78" s="109">
        <f>'1. Показатели'!W411</f>
        <v>0</v>
      </c>
      <c r="I78" s="18">
        <f>'1. Показатели'!H411</f>
        <v>0.99778345250255362</v>
      </c>
      <c r="J78" s="356">
        <f>'1. Показатели'!Z411</f>
        <v>3</v>
      </c>
      <c r="K78" s="356">
        <f>'1. Показатели'!AA411</f>
        <v>5</v>
      </c>
      <c r="L78" s="356">
        <f>'1. Показатели'!AB411</f>
        <v>2</v>
      </c>
      <c r="M78" s="18">
        <f>'1. Показатели'!I411</f>
        <v>1.053440038687194</v>
      </c>
      <c r="N78" s="356">
        <f>'2.ПП'!G227</f>
        <v>25</v>
      </c>
      <c r="O78" s="356">
        <f>'2.ПП'!H227</f>
        <v>22</v>
      </c>
      <c r="P78" s="356">
        <f>'2.ПП'!I227</f>
        <v>3</v>
      </c>
      <c r="Q78" s="356">
        <f>'2.ПП'!J227</f>
        <v>0</v>
      </c>
      <c r="R78" s="30">
        <f t="shared" si="20"/>
        <v>0.94</v>
      </c>
      <c r="S78" s="18">
        <f t="shared" ref="S78:S86" si="24">I78*$I$8+(M78-3%)*$M$8+R78*$R$8</f>
        <v>0.986539049291284</v>
      </c>
      <c r="T78" s="343" t="str">
        <f t="shared" ref="T78:T87" si="25">IF(S78&gt;=97%,"Высокая",IF((S78&gt;=92%)*AND(S78&lt;97%),"Средняя",IF((S78&gt;=85%)*AND(S78&lt;92%),"Ниже среднего","Низкая")))</f>
        <v>Высокая</v>
      </c>
      <c r="U78" s="20">
        <f t="shared" si="21"/>
        <v>0.986539049291284</v>
      </c>
      <c r="V78" s="4">
        <f t="shared" si="22"/>
        <v>0.94</v>
      </c>
      <c r="W78" s="117">
        <f t="shared" si="23"/>
        <v>5.7783452502553678E-2</v>
      </c>
    </row>
    <row r="79" spans="1:23" ht="34.5" hidden="1" customHeight="1" outlineLevel="1" x14ac:dyDescent="0.25">
      <c r="A79" s="132" t="s">
        <v>165</v>
      </c>
      <c r="B79" s="200" t="s">
        <v>968</v>
      </c>
      <c r="C79" s="106">
        <f>'1. Показатели'!R415</f>
        <v>5</v>
      </c>
      <c r="D79" s="106">
        <f>'1. Показатели'!S415</f>
        <v>0</v>
      </c>
      <c r="E79" s="106">
        <f>'1. Показатели'!T415</f>
        <v>0</v>
      </c>
      <c r="F79" s="106">
        <f>'1. Показатели'!U415</f>
        <v>4</v>
      </c>
      <c r="G79" s="106">
        <f>'1. Показатели'!V415</f>
        <v>1</v>
      </c>
      <c r="H79" s="106">
        <f>'1. Показатели'!W415</f>
        <v>0</v>
      </c>
      <c r="I79" s="21">
        <f>'1. Показатели'!H415</f>
        <v>0.99512359550561802</v>
      </c>
      <c r="J79" s="22">
        <f>'1. Показатели'!Z415</f>
        <v>0</v>
      </c>
      <c r="K79" s="22">
        <f>'1. Показатели'!AA415</f>
        <v>2</v>
      </c>
      <c r="L79" s="22">
        <f>'1. Показатели'!AB415</f>
        <v>2</v>
      </c>
      <c r="M79" s="21">
        <f>'1. Показатели'!I415</f>
        <v>0.98360009671798521</v>
      </c>
      <c r="N79" s="22">
        <f>'2.ПП'!G228</f>
        <v>22</v>
      </c>
      <c r="O79" s="22">
        <f>'2.ПП'!H228</f>
        <v>19</v>
      </c>
      <c r="P79" s="22">
        <f>'2.ПП'!I228</f>
        <v>3</v>
      </c>
      <c r="Q79" s="22">
        <f>'2.ПП'!J228</f>
        <v>0</v>
      </c>
      <c r="R79" s="21">
        <f t="shared" si="20"/>
        <v>0.93181818181818177</v>
      </c>
      <c r="S79" s="201">
        <f t="shared" si="24"/>
        <v>0.95843347613934382</v>
      </c>
      <c r="T79" s="21" t="str">
        <f t="shared" si="25"/>
        <v>Средняя</v>
      </c>
      <c r="U79" s="20">
        <f t="shared" si="21"/>
        <v>0.95843347613934382</v>
      </c>
      <c r="V79" s="4">
        <f t="shared" si="22"/>
        <v>0.93181818181818177</v>
      </c>
      <c r="W79" s="116">
        <f t="shared" si="23"/>
        <v>6.3305413687436252E-2</v>
      </c>
    </row>
    <row r="80" spans="1:23" ht="62.25" hidden="1" customHeight="1" outlineLevel="1" x14ac:dyDescent="0.25">
      <c r="A80" s="132" t="s">
        <v>166</v>
      </c>
      <c r="B80" s="200" t="s">
        <v>969</v>
      </c>
      <c r="C80" s="106">
        <f>'1. Показатели'!R421</f>
        <v>3</v>
      </c>
      <c r="D80" s="106">
        <f>'1. Показатели'!S421</f>
        <v>0</v>
      </c>
      <c r="E80" s="106">
        <f>'1. Показатели'!T421</f>
        <v>1</v>
      </c>
      <c r="F80" s="106">
        <f>'1. Показатели'!U421</f>
        <v>2</v>
      </c>
      <c r="G80" s="106">
        <f>'1. Показатели'!V421</f>
        <v>0</v>
      </c>
      <c r="H80" s="106">
        <f>'1. Показатели'!W421</f>
        <v>0</v>
      </c>
      <c r="I80" s="21">
        <f>'1. Показатели'!H421</f>
        <v>1</v>
      </c>
      <c r="J80" s="22">
        <f>'1. Показатели'!Z421</f>
        <v>2</v>
      </c>
      <c r="K80" s="22">
        <f>'1. Показатели'!AA421</f>
        <v>1</v>
      </c>
      <c r="L80" s="22">
        <f>'1. Показатели'!AB421</f>
        <v>0</v>
      </c>
      <c r="M80" s="21">
        <f>'1. Показатели'!I421</f>
        <v>1.1666666666666667</v>
      </c>
      <c r="N80" s="22">
        <f>'2.ПП'!G229</f>
        <v>3</v>
      </c>
      <c r="O80" s="22">
        <f>'2.ПП'!H229</f>
        <v>3</v>
      </c>
      <c r="P80" s="22">
        <f>'2.ПП'!I229</f>
        <v>0</v>
      </c>
      <c r="Q80" s="22">
        <f>'2.ПП'!J229</f>
        <v>0</v>
      </c>
      <c r="R80" s="21">
        <f t="shared" si="20"/>
        <v>1</v>
      </c>
      <c r="S80" s="201">
        <f t="shared" si="24"/>
        <v>1.0478333333333332</v>
      </c>
      <c r="T80" s="21" t="str">
        <f t="shared" si="25"/>
        <v>Высокая</v>
      </c>
      <c r="U80" s="20">
        <f t="shared" si="21"/>
        <v>1.0478333333333332</v>
      </c>
      <c r="V80" s="4">
        <f t="shared" si="22"/>
        <v>1</v>
      </c>
      <c r="W80" s="116">
        <f t="shared" si="23"/>
        <v>0</v>
      </c>
    </row>
    <row r="81" spans="1:23" ht="30" customHeight="1" collapsed="1" x14ac:dyDescent="0.25">
      <c r="A81" s="17" t="s">
        <v>167</v>
      </c>
      <c r="B81" s="183" t="s">
        <v>1031</v>
      </c>
      <c r="C81" s="109">
        <f>'1. Показатели'!R425</f>
        <v>19</v>
      </c>
      <c r="D81" s="109">
        <f>'1. Показатели'!S425</f>
        <v>3</v>
      </c>
      <c r="E81" s="109">
        <f>'1. Показатели'!T425</f>
        <v>1</v>
      </c>
      <c r="F81" s="109">
        <f>'1. Показатели'!U425</f>
        <v>13</v>
      </c>
      <c r="G81" s="109">
        <f>'1. Показатели'!V425</f>
        <v>0</v>
      </c>
      <c r="H81" s="109">
        <f>'1. Показатели'!W425</f>
        <v>2</v>
      </c>
      <c r="I81" s="30">
        <f>'1. Показатели'!H425</f>
        <v>0.93856534090909094</v>
      </c>
      <c r="J81" s="110">
        <f>'1. Показатели'!Z425</f>
        <v>4</v>
      </c>
      <c r="K81" s="110">
        <f>'1. Показатели'!AA425</f>
        <v>3</v>
      </c>
      <c r="L81" s="110">
        <f>'1. Показатели'!AB425</f>
        <v>4</v>
      </c>
      <c r="M81" s="19">
        <f>'1. Показатели'!I425</f>
        <v>0.89405034784537107</v>
      </c>
      <c r="N81" s="356">
        <f>'2.ПП'!G230</f>
        <v>19</v>
      </c>
      <c r="O81" s="356">
        <f>'2.ПП'!H230</f>
        <v>18</v>
      </c>
      <c r="P81" s="356">
        <f>'2.ПП'!I230</f>
        <v>1</v>
      </c>
      <c r="Q81" s="356">
        <f>'2.ПП'!J230</f>
        <v>0</v>
      </c>
      <c r="R81" s="18">
        <f t="shared" si="20"/>
        <v>0.97368421052631582</v>
      </c>
      <c r="S81" s="30">
        <f t="shared" si="24"/>
        <v>0.92477669770281756</v>
      </c>
      <c r="T81" s="114" t="str">
        <f t="shared" si="25"/>
        <v>Средняя</v>
      </c>
      <c r="U81" s="20">
        <f t="shared" si="21"/>
        <v>0.92477669770281756</v>
      </c>
      <c r="V81" s="4">
        <f t="shared" si="22"/>
        <v>0.97368421052631582</v>
      </c>
      <c r="W81" s="116">
        <f t="shared" si="23"/>
        <v>-3.5118869617224879E-2</v>
      </c>
    </row>
    <row r="82" spans="1:23" ht="25.5" hidden="1" customHeight="1" outlineLevel="1" x14ac:dyDescent="0.25">
      <c r="A82" s="132" t="s">
        <v>168</v>
      </c>
      <c r="B82" s="200" t="s">
        <v>970</v>
      </c>
      <c r="C82" s="106">
        <f>'1. Показатели'!R430</f>
        <v>5</v>
      </c>
      <c r="D82" s="106">
        <f>'1. Показатели'!S430</f>
        <v>2</v>
      </c>
      <c r="E82" s="106">
        <f>'1. Показатели'!T430</f>
        <v>1</v>
      </c>
      <c r="F82" s="106">
        <f>'1. Показатели'!U430</f>
        <v>1</v>
      </c>
      <c r="G82" s="106">
        <f>'1. Показатели'!V430</f>
        <v>0</v>
      </c>
      <c r="H82" s="106">
        <f>'1. Показатели'!W430</f>
        <v>1</v>
      </c>
      <c r="I82" s="107">
        <f>'1. Показатели'!H430</f>
        <v>0.90151515151515149</v>
      </c>
      <c r="J82" s="108">
        <f>'1. Показатели'!Z430</f>
        <v>1</v>
      </c>
      <c r="K82" s="108">
        <f>'1. Показатели'!AA430</f>
        <v>0</v>
      </c>
      <c r="L82" s="108">
        <f>'1. Показатели'!AB430</f>
        <v>1</v>
      </c>
      <c r="M82" s="107">
        <f>'1. Показатели'!I430</f>
        <v>0.85227272727272729</v>
      </c>
      <c r="N82" s="22">
        <f>'2.ПП'!G233</f>
        <v>7</v>
      </c>
      <c r="O82" s="22">
        <f>'2.ПП'!H233</f>
        <v>7</v>
      </c>
      <c r="P82" s="22">
        <f>'2.ПП'!I233</f>
        <v>0</v>
      </c>
      <c r="Q82" s="22">
        <f>'2.ПП'!J233</f>
        <v>0</v>
      </c>
      <c r="R82" s="21">
        <f t="shared" si="20"/>
        <v>1</v>
      </c>
      <c r="S82" s="202">
        <f t="shared" si="24"/>
        <v>0.90824999999999989</v>
      </c>
      <c r="T82" s="21" t="str">
        <f t="shared" si="25"/>
        <v>Ниже среднего</v>
      </c>
      <c r="U82" s="20">
        <f t="shared" si="21"/>
        <v>0.90824999999999989</v>
      </c>
      <c r="V82" s="4">
        <f t="shared" si="22"/>
        <v>1</v>
      </c>
      <c r="W82" s="117">
        <f t="shared" si="23"/>
        <v>-9.8484848484848508E-2</v>
      </c>
    </row>
    <row r="83" spans="1:23" ht="51.75" hidden="1" customHeight="1" outlineLevel="1" x14ac:dyDescent="0.25">
      <c r="A83" s="132" t="s">
        <v>169</v>
      </c>
      <c r="B83" s="200" t="s">
        <v>971</v>
      </c>
      <c r="C83" s="106">
        <f>'1. Показатели'!R436</f>
        <v>4</v>
      </c>
      <c r="D83" s="106">
        <f>'1. Показатели'!S436</f>
        <v>0</v>
      </c>
      <c r="E83" s="106">
        <f>'1. Показатели'!T436</f>
        <v>0</v>
      </c>
      <c r="F83" s="106">
        <f>'1. Показатели'!U436</f>
        <v>4</v>
      </c>
      <c r="G83" s="106">
        <f>'1. Показатели'!V436</f>
        <v>0</v>
      </c>
      <c r="H83" s="106">
        <f>'1. Показатели'!W436</f>
        <v>0</v>
      </c>
      <c r="I83" s="107">
        <f>'1. Показатели'!H436</f>
        <v>1</v>
      </c>
      <c r="J83" s="108">
        <f>'1. Показатели'!Z436</f>
        <v>0</v>
      </c>
      <c r="K83" s="108">
        <f>'1. Показатели'!AA436</f>
        <v>0</v>
      </c>
      <c r="L83" s="108">
        <f>'1. Показатели'!AB436</f>
        <v>2</v>
      </c>
      <c r="M83" s="107">
        <f>'1. Показатели'!I436</f>
        <v>0.95589348813730446</v>
      </c>
      <c r="N83" s="22">
        <f>'2.ПП'!G234</f>
        <v>6</v>
      </c>
      <c r="O83" s="22">
        <f>'2.ПП'!H234</f>
        <v>6</v>
      </c>
      <c r="P83" s="22">
        <f>'2.ПП'!I234</f>
        <v>0</v>
      </c>
      <c r="Q83" s="22">
        <f>'2.ПП'!J234</f>
        <v>0</v>
      </c>
      <c r="R83" s="21">
        <f t="shared" si="20"/>
        <v>1</v>
      </c>
      <c r="S83" s="202">
        <f t="shared" si="24"/>
        <v>0.97406272084805645</v>
      </c>
      <c r="T83" s="21" t="str">
        <f t="shared" si="25"/>
        <v>Высокая</v>
      </c>
      <c r="U83" s="20">
        <f t="shared" si="21"/>
        <v>0.97406272084805645</v>
      </c>
      <c r="V83" s="4">
        <f t="shared" si="22"/>
        <v>1</v>
      </c>
      <c r="W83" s="116">
        <f t="shared" si="23"/>
        <v>0</v>
      </c>
    </row>
    <row r="84" spans="1:23" ht="56.25" hidden="1" customHeight="1" outlineLevel="1" x14ac:dyDescent="0.25">
      <c r="A84" s="392" t="s">
        <v>1455</v>
      </c>
      <c r="B84" s="200" t="s">
        <v>972</v>
      </c>
      <c r="C84" s="106">
        <f>'1. Показатели'!R441</f>
        <v>2</v>
      </c>
      <c r="D84" s="106">
        <f>'1. Показатели'!S441</f>
        <v>0</v>
      </c>
      <c r="E84" s="106">
        <f>'1. Показатели'!T441</f>
        <v>0</v>
      </c>
      <c r="F84" s="106">
        <f>'1. Показатели'!U441</f>
        <v>2</v>
      </c>
      <c r="G84" s="106">
        <f>'1. Показатели'!V441</f>
        <v>0</v>
      </c>
      <c r="H84" s="106">
        <f>'1. Показатели'!W441</f>
        <v>0</v>
      </c>
      <c r="I84" s="107">
        <f>'1. Показатели'!H441</f>
        <v>1</v>
      </c>
      <c r="J84" s="108">
        <f>'1. Показатели'!Z441</f>
        <v>0</v>
      </c>
      <c r="K84" s="108">
        <f>'1. Показатели'!AA441</f>
        <v>2</v>
      </c>
      <c r="L84" s="108">
        <f>'1. Показатели'!AB441</f>
        <v>0</v>
      </c>
      <c r="M84" s="21">
        <f>'1. Показатели'!I441</f>
        <v>1</v>
      </c>
      <c r="N84" s="22">
        <f>'2.ПП'!G237</f>
        <v>2</v>
      </c>
      <c r="O84" s="22">
        <f>'2.ПП'!H237</f>
        <v>2</v>
      </c>
      <c r="P84" s="22">
        <f>'2.ПП'!I237</f>
        <v>0</v>
      </c>
      <c r="Q84" s="22">
        <f>'2.ПП'!J237</f>
        <v>0</v>
      </c>
      <c r="R84" s="21">
        <f t="shared" si="20"/>
        <v>1</v>
      </c>
      <c r="S84" s="202">
        <f t="shared" si="24"/>
        <v>0.98949999999999994</v>
      </c>
      <c r="T84" s="21" t="str">
        <f t="shared" si="25"/>
        <v>Высокая</v>
      </c>
      <c r="U84" s="20">
        <f t="shared" si="21"/>
        <v>0.98949999999999994</v>
      </c>
      <c r="V84" s="4">
        <f t="shared" si="22"/>
        <v>1</v>
      </c>
      <c r="W84" s="116">
        <f t="shared" si="23"/>
        <v>0</v>
      </c>
    </row>
    <row r="85" spans="1:23" ht="38.25" hidden="1" customHeight="1" outlineLevel="1" x14ac:dyDescent="0.25">
      <c r="A85" s="392" t="s">
        <v>1458</v>
      </c>
      <c r="B85" s="200" t="s">
        <v>973</v>
      </c>
      <c r="C85" s="106">
        <f>'1. Показатели'!R444</f>
        <v>4</v>
      </c>
      <c r="D85" s="106">
        <f>'1. Показатели'!S444</f>
        <v>0</v>
      </c>
      <c r="E85" s="106">
        <f>'1. Показатели'!T444</f>
        <v>0</v>
      </c>
      <c r="F85" s="106">
        <f>'1. Показатели'!U444</f>
        <v>4</v>
      </c>
      <c r="G85" s="106">
        <f>'1. Показатели'!V444</f>
        <v>0</v>
      </c>
      <c r="H85" s="106">
        <f>'1. Показатели'!W444</f>
        <v>0</v>
      </c>
      <c r="I85" s="107">
        <f>'1. Показатели'!H444</f>
        <v>1</v>
      </c>
      <c r="J85" s="108">
        <f>'1. Показатели'!Z444</f>
        <v>3</v>
      </c>
      <c r="K85" s="108">
        <f>'1. Показатели'!AA444</f>
        <v>0</v>
      </c>
      <c r="L85" s="108">
        <f>'1. Показатели'!AB444</f>
        <v>0</v>
      </c>
      <c r="M85" s="21">
        <f>'1. Показатели'!I444</f>
        <v>1.0668868889113605</v>
      </c>
      <c r="N85" s="22">
        <f>'2.ПП'!G238</f>
        <v>4</v>
      </c>
      <c r="O85" s="22">
        <f>'2.ПП'!H238</f>
        <v>3</v>
      </c>
      <c r="P85" s="22">
        <f>'2.ПП'!I238</f>
        <v>1</v>
      </c>
      <c r="Q85" s="22">
        <f>'2.ПП'!J238</f>
        <v>0</v>
      </c>
      <c r="R85" s="21">
        <f t="shared" si="20"/>
        <v>0.875</v>
      </c>
      <c r="S85" s="202">
        <f t="shared" si="24"/>
        <v>0.969160411118976</v>
      </c>
      <c r="T85" s="21" t="str">
        <f t="shared" si="25"/>
        <v>Средняя</v>
      </c>
      <c r="U85" s="20">
        <f t="shared" si="21"/>
        <v>0.969160411118976</v>
      </c>
      <c r="V85" s="4">
        <f t="shared" si="22"/>
        <v>0.875</v>
      </c>
      <c r="W85" s="116">
        <f t="shared" si="23"/>
        <v>0.125</v>
      </c>
    </row>
    <row r="86" spans="1:23" ht="35.25" customHeight="1" collapsed="1" x14ac:dyDescent="0.25">
      <c r="A86" s="17" t="s">
        <v>170</v>
      </c>
      <c r="B86" s="183" t="s">
        <v>1032</v>
      </c>
      <c r="C86" s="355">
        <f>'1. Показатели'!R449</f>
        <v>40</v>
      </c>
      <c r="D86" s="355">
        <f>'1. Показатели'!S449</f>
        <v>1</v>
      </c>
      <c r="E86" s="355">
        <f>'1. Показатели'!T449</f>
        <v>6</v>
      </c>
      <c r="F86" s="355">
        <f>'1. Показатели'!U449</f>
        <v>31</v>
      </c>
      <c r="G86" s="355">
        <f>'1. Показатели'!V449</f>
        <v>1</v>
      </c>
      <c r="H86" s="355">
        <f>'1. Показатели'!W449</f>
        <v>1</v>
      </c>
      <c r="I86" s="18">
        <f>'1. Показатели'!H449</f>
        <v>0.99280735934899489</v>
      </c>
      <c r="J86" s="356">
        <f>'1. Показатели'!Z449</f>
        <v>12</v>
      </c>
      <c r="K86" s="356">
        <f>'1. Показатели'!AA449</f>
        <v>16</v>
      </c>
      <c r="L86" s="356">
        <f>'1. Показатели'!AB449</f>
        <v>4</v>
      </c>
      <c r="M86" s="18">
        <f>'1. Показатели'!I449</f>
        <v>1.0230993725606254</v>
      </c>
      <c r="N86" s="356">
        <f>'2.ПП'!G239</f>
        <v>104</v>
      </c>
      <c r="O86" s="356">
        <f>'2.ПП'!H239</f>
        <v>93</v>
      </c>
      <c r="P86" s="356">
        <f>'2.ПП'!I239</f>
        <v>7</v>
      </c>
      <c r="Q86" s="356">
        <f>'2.ПП'!J239</f>
        <v>4</v>
      </c>
      <c r="R86" s="30">
        <f>(O86+0.5*P86)/N86</f>
        <v>0.92788461538461542</v>
      </c>
      <c r="S86" s="18">
        <f t="shared" si="24"/>
        <v>0.97018660358553277</v>
      </c>
      <c r="T86" s="25" t="str">
        <f t="shared" si="25"/>
        <v>Высокая</v>
      </c>
      <c r="U86" s="20">
        <f t="shared" si="21"/>
        <v>0.97018660358553277</v>
      </c>
      <c r="V86" s="4">
        <f t="shared" si="22"/>
        <v>0.92788461538461542</v>
      </c>
      <c r="W86" s="116">
        <f t="shared" si="23"/>
        <v>6.492274396437947E-2</v>
      </c>
    </row>
    <row r="87" spans="1:23" ht="23.25" hidden="1" customHeight="1" outlineLevel="1" x14ac:dyDescent="0.25">
      <c r="A87" s="136" t="s">
        <v>172</v>
      </c>
      <c r="B87" s="200" t="s">
        <v>974</v>
      </c>
      <c r="C87" s="191">
        <f>'1. Показатели'!R458</f>
        <v>9</v>
      </c>
      <c r="D87" s="191">
        <f>'1. Показатели'!S458</f>
        <v>0</v>
      </c>
      <c r="E87" s="191">
        <f>'1. Показатели'!T458</f>
        <v>3</v>
      </c>
      <c r="F87" s="191">
        <f>'1. Показатели'!U458</f>
        <v>5</v>
      </c>
      <c r="G87" s="191">
        <f>'1. Показатели'!V458</f>
        <v>1</v>
      </c>
      <c r="H87" s="191">
        <f>'1. Показатели'!W458</f>
        <v>0</v>
      </c>
      <c r="I87" s="21">
        <f>'1. Показатели'!H458</f>
        <v>0.99713261648745521</v>
      </c>
      <c r="J87" s="22">
        <f>'1. Показатели'!Z458</f>
        <v>2</v>
      </c>
      <c r="K87" s="22">
        <f>'1. Показатели'!AA458</f>
        <v>2</v>
      </c>
      <c r="L87" s="22">
        <f>'1. Показатели'!AB458</f>
        <v>3</v>
      </c>
      <c r="M87" s="21">
        <f>'1. Показатели'!I458</f>
        <v>0.93567661254833479</v>
      </c>
      <c r="N87" s="22">
        <f>'2.ПП'!G243</f>
        <v>33</v>
      </c>
      <c r="O87" s="22">
        <f>'2.ПП'!H243</f>
        <v>30</v>
      </c>
      <c r="P87" s="22">
        <f>'2.ПП'!I243</f>
        <v>2</v>
      </c>
      <c r="Q87" s="22">
        <f>'2.ПП'!J243</f>
        <v>1</v>
      </c>
      <c r="R87" s="21">
        <f t="shared" ref="R87:R91" si="26">(O87+0.5*P87)/N87</f>
        <v>0.93939393939393945</v>
      </c>
      <c r="S87" s="201">
        <f t="shared" ref="S87:S91" si="27">I87*$I$8+(M87-3%)*$M$8+R87*$R$8</f>
        <v>0.94491447812603258</v>
      </c>
      <c r="T87" s="21" t="str">
        <f t="shared" si="25"/>
        <v>Средняя</v>
      </c>
      <c r="V87" s="4">
        <f t="shared" ref="V87:V91" si="28">(O87+0.5*P87)/N87</f>
        <v>0.93939393939393945</v>
      </c>
      <c r="W87" s="116">
        <f t="shared" ref="W87:W91" si="29">I87-R87</f>
        <v>5.7738677093515767E-2</v>
      </c>
    </row>
    <row r="88" spans="1:23" ht="28.5" hidden="1" customHeight="1" outlineLevel="1" x14ac:dyDescent="0.25">
      <c r="A88" s="136" t="s">
        <v>173</v>
      </c>
      <c r="B88" s="200" t="s">
        <v>975</v>
      </c>
      <c r="C88" s="191">
        <f>'1. Показатели'!R468</f>
        <v>7</v>
      </c>
      <c r="D88" s="191">
        <f>'1. Показатели'!S468</f>
        <v>0</v>
      </c>
      <c r="E88" s="191">
        <f>'1. Показатели'!T468</f>
        <v>0</v>
      </c>
      <c r="F88" s="191">
        <f>'1. Показатели'!U468</f>
        <v>7</v>
      </c>
      <c r="G88" s="191">
        <f>'1. Показатели'!V468</f>
        <v>0</v>
      </c>
      <c r="H88" s="191">
        <f>'1. Показатели'!W468</f>
        <v>0</v>
      </c>
      <c r="I88" s="21">
        <f>'1. Показатели'!H468</f>
        <v>1</v>
      </c>
      <c r="J88" s="22">
        <f>'1. Показатели'!Z468</f>
        <v>1</v>
      </c>
      <c r="K88" s="22">
        <f>'1. Показатели'!AA468</f>
        <v>4</v>
      </c>
      <c r="L88" s="22">
        <f>'1. Показатели'!AB468</f>
        <v>0</v>
      </c>
      <c r="M88" s="21">
        <f>'1. Показатели'!I468</f>
        <v>1.0346482829056556</v>
      </c>
      <c r="N88" s="22">
        <f>'2.ПП'!G247</f>
        <v>12</v>
      </c>
      <c r="O88" s="22">
        <f>'2.ПП'!H247</f>
        <v>10</v>
      </c>
      <c r="P88" s="22">
        <f>'2.ПП'!I247</f>
        <v>1</v>
      </c>
      <c r="Q88" s="22">
        <f>'2.ПП'!J247</f>
        <v>1</v>
      </c>
      <c r="R88" s="21">
        <f t="shared" si="26"/>
        <v>0.875</v>
      </c>
      <c r="S88" s="201">
        <f t="shared" si="27"/>
        <v>0.95787689901697926</v>
      </c>
      <c r="T88" s="21" t="str">
        <f t="shared" ref="T88:T91" si="30">IF(S88&gt;=97%,"Высокая",IF((S88&gt;=92%)*AND(S88&lt;97%),"Средняя",IF((S88&gt;=85%)*AND(S88&lt;92%),"Ниже среднего","Низкая")))</f>
        <v>Средняя</v>
      </c>
      <c r="V88" s="4">
        <f t="shared" si="28"/>
        <v>0.875</v>
      </c>
      <c r="W88" s="116">
        <f t="shared" si="29"/>
        <v>0.125</v>
      </c>
    </row>
    <row r="89" spans="1:23" ht="48.75" hidden="1" customHeight="1" outlineLevel="1" x14ac:dyDescent="0.25">
      <c r="A89" s="392" t="s">
        <v>174</v>
      </c>
      <c r="B89" s="200" t="s">
        <v>976</v>
      </c>
      <c r="C89" s="191">
        <f>'1. Показатели'!R476</f>
        <v>10</v>
      </c>
      <c r="D89" s="191">
        <f>'1. Показатели'!S476</f>
        <v>0</v>
      </c>
      <c r="E89" s="191">
        <f>'1. Показатели'!T476</f>
        <v>3</v>
      </c>
      <c r="F89" s="191">
        <f>'1. Показатели'!U476</f>
        <v>6</v>
      </c>
      <c r="G89" s="191">
        <f>'1. Показатели'!V476</f>
        <v>0</v>
      </c>
      <c r="H89" s="191">
        <f>'1. Показатели'!W476</f>
        <v>1</v>
      </c>
      <c r="I89" s="21">
        <f>'1. Показатели'!H476</f>
        <v>0.97452934662236979</v>
      </c>
      <c r="J89" s="22">
        <f>'1. Показатели'!Z476</f>
        <v>7</v>
      </c>
      <c r="K89" s="22">
        <f>'1. Показатели'!AA476</f>
        <v>1</v>
      </c>
      <c r="L89" s="22">
        <f>'1. Показатели'!AB476</f>
        <v>1</v>
      </c>
      <c r="M89" s="21">
        <f>'1. Показатели'!I476</f>
        <v>1.0779076723325292</v>
      </c>
      <c r="N89" s="22">
        <f>'2.ПП'!G251</f>
        <v>38</v>
      </c>
      <c r="O89" s="22">
        <f>'2.ПП'!H251</f>
        <v>32</v>
      </c>
      <c r="P89" s="22">
        <f>'2.ПП'!I251</f>
        <v>4</v>
      </c>
      <c r="Q89" s="22">
        <f>'2.ПП'!J251</f>
        <v>2</v>
      </c>
      <c r="R89" s="21">
        <f t="shared" si="26"/>
        <v>0.89473684210526316</v>
      </c>
      <c r="S89" s="201">
        <f t="shared" si="27"/>
        <v>0.97228438403993822</v>
      </c>
      <c r="T89" s="21" t="str">
        <f t="shared" si="30"/>
        <v>Высокая</v>
      </c>
      <c r="V89" s="4">
        <f t="shared" si="28"/>
        <v>0.89473684210526316</v>
      </c>
      <c r="W89" s="116">
        <f t="shared" si="29"/>
        <v>7.9792504517106622E-2</v>
      </c>
    </row>
    <row r="90" spans="1:23" ht="48.75" hidden="1" customHeight="1" outlineLevel="1" x14ac:dyDescent="0.25">
      <c r="A90" s="392" t="s">
        <v>175</v>
      </c>
      <c r="B90" s="200" t="s">
        <v>977</v>
      </c>
      <c r="C90" s="191">
        <f>'1. Показатели'!R477</f>
        <v>0</v>
      </c>
      <c r="D90" s="191">
        <f>'1. Показатели'!S477</f>
        <v>0</v>
      </c>
      <c r="E90" s="191">
        <f>'1. Показатели'!T477</f>
        <v>0</v>
      </c>
      <c r="F90" s="191">
        <f>'1. Показатели'!U477</f>
        <v>0</v>
      </c>
      <c r="G90" s="191">
        <f>'1. Показатели'!V477</f>
        <v>0</v>
      </c>
      <c r="H90" s="191">
        <f>'1. Показатели'!W477</f>
        <v>0</v>
      </c>
      <c r="I90" s="21">
        <f>'1. Показатели'!H487</f>
        <v>1</v>
      </c>
      <c r="J90" s="22">
        <f>'1. Показатели'!Z477</f>
        <v>0</v>
      </c>
      <c r="K90" s="22">
        <f>'1. Показатели'!AA477</f>
        <v>0</v>
      </c>
      <c r="L90" s="22">
        <f>'1. Показатели'!AB477</f>
        <v>0</v>
      </c>
      <c r="M90" s="21">
        <f>'1. Показатели'!I487</f>
        <v>1</v>
      </c>
      <c r="N90" s="22">
        <f>'2.ПП'!G254</f>
        <v>10</v>
      </c>
      <c r="O90" s="22">
        <f>'2.ПП'!H254</f>
        <v>10</v>
      </c>
      <c r="P90" s="22">
        <f>'2.ПП'!I254</f>
        <v>0</v>
      </c>
      <c r="Q90" s="22">
        <f>'2.ПП'!J254</f>
        <v>0</v>
      </c>
      <c r="R90" s="21">
        <f t="shared" ref="R90" si="31">(O90+0.5*P90)/N90</f>
        <v>1</v>
      </c>
      <c r="S90" s="201">
        <f t="shared" ref="S90" si="32">I90*$I$8+(M90-3%)*$M$8+R90*$R$8</f>
        <v>0.98949999999999994</v>
      </c>
      <c r="T90" s="21" t="str">
        <f t="shared" ref="T90" si="33">IF(S90&gt;=97%,"Высокая",IF((S90&gt;=92%)*AND(S90&lt;97%),"Средняя",IF((S90&gt;=85%)*AND(S90&lt;92%),"Ниже среднего","Низкая")))</f>
        <v>Высокая</v>
      </c>
      <c r="W90" s="116"/>
    </row>
    <row r="91" spans="1:23" ht="34.5" hidden="1" customHeight="1" outlineLevel="1" x14ac:dyDescent="0.25">
      <c r="A91" s="392" t="s">
        <v>1485</v>
      </c>
      <c r="B91" s="199" t="s">
        <v>978</v>
      </c>
      <c r="C91" s="191">
        <f>'1. Показатели'!R487</f>
        <v>4</v>
      </c>
      <c r="D91" s="191">
        <f>'1. Показатели'!S487</f>
        <v>0</v>
      </c>
      <c r="E91" s="191">
        <f>'1. Показатели'!T487</f>
        <v>0</v>
      </c>
      <c r="F91" s="191">
        <f>'1. Показатели'!U487</f>
        <v>4</v>
      </c>
      <c r="G91" s="191">
        <f>'1. Показатели'!V487</f>
        <v>0</v>
      </c>
      <c r="H91" s="191">
        <f>'1. Показатели'!W487</f>
        <v>0</v>
      </c>
      <c r="I91" s="21">
        <f>'1. Показатели'!H492</f>
        <v>1</v>
      </c>
      <c r="J91" s="22">
        <f>'1. Показатели'!Z487</f>
        <v>0</v>
      </c>
      <c r="K91" s="22">
        <f>'1. Показатели'!AA487</f>
        <v>4</v>
      </c>
      <c r="L91" s="22">
        <f>'1. Показатели'!AB487</f>
        <v>0</v>
      </c>
      <c r="M91" s="21">
        <f>'1. Показатели'!I492</f>
        <v>1.0561255280627639</v>
      </c>
      <c r="N91" s="22">
        <f>'2.ПП'!G255</f>
        <v>11</v>
      </c>
      <c r="O91" s="22">
        <f>'2.ПП'!H255</f>
        <v>11</v>
      </c>
      <c r="P91" s="22">
        <f>'2.ПП'!I255</f>
        <v>0</v>
      </c>
      <c r="Q91" s="22">
        <f>'2.ПП'!J255</f>
        <v>0</v>
      </c>
      <c r="R91" s="21">
        <f t="shared" si="26"/>
        <v>1</v>
      </c>
      <c r="S91" s="201">
        <f t="shared" si="27"/>
        <v>1.0091439348219673</v>
      </c>
      <c r="T91" s="21" t="str">
        <f t="shared" si="30"/>
        <v>Высокая</v>
      </c>
      <c r="V91" s="4">
        <f t="shared" si="28"/>
        <v>1</v>
      </c>
      <c r="W91" s="116">
        <f t="shared" si="29"/>
        <v>0</v>
      </c>
    </row>
    <row r="92" spans="1:23" x14ac:dyDescent="0.25">
      <c r="A92" s="1"/>
      <c r="B92" s="27"/>
      <c r="C92" s="27"/>
      <c r="D92" s="27"/>
      <c r="E92" s="27"/>
      <c r="F92" s="27"/>
      <c r="G92" s="27"/>
      <c r="H92" s="27"/>
      <c r="I92" s="2"/>
      <c r="J92" s="2"/>
      <c r="K92" s="2"/>
      <c r="L92" s="2"/>
      <c r="M92" s="2"/>
      <c r="N92" s="2"/>
      <c r="O92" s="2"/>
      <c r="P92" s="2"/>
      <c r="Q92" s="2"/>
      <c r="R92" s="2"/>
      <c r="S92" s="2"/>
      <c r="T92" s="2"/>
    </row>
    <row r="93" spans="1:23" x14ac:dyDescent="0.25">
      <c r="A93" s="28" t="s">
        <v>271</v>
      </c>
      <c r="B93" s="2"/>
      <c r="C93" s="2"/>
      <c r="D93" s="2"/>
      <c r="E93" s="2"/>
      <c r="F93" s="2"/>
      <c r="G93" s="2"/>
      <c r="H93" s="2"/>
      <c r="I93" s="2"/>
      <c r="J93" s="2"/>
      <c r="K93" s="2"/>
      <c r="L93" s="2"/>
      <c r="M93" s="2"/>
      <c r="N93" s="2"/>
      <c r="O93" s="2"/>
      <c r="P93" s="2"/>
      <c r="Q93" s="2"/>
      <c r="R93" s="2"/>
      <c r="S93" s="2"/>
      <c r="T93" s="2"/>
    </row>
  </sheetData>
  <mergeCells count="11">
    <mergeCell ref="J6:M6"/>
    <mergeCell ref="A3:T3"/>
    <mergeCell ref="A5:A7"/>
    <mergeCell ref="B5:B7"/>
    <mergeCell ref="C5:M5"/>
    <mergeCell ref="N5:R6"/>
    <mergeCell ref="S5:S7"/>
    <mergeCell ref="T5:T7"/>
    <mergeCell ref="C6:C7"/>
    <mergeCell ref="D6:D7"/>
    <mergeCell ref="E6:I6"/>
  </mergeCells>
  <phoneticPr fontId="70" type="noConversion"/>
  <conditionalFormatting sqref="T82:T85 T23:T41 T67:T77 T43:T53">
    <cfRule type="colorScale" priority="4">
      <colorScale>
        <cfvo type="min"/>
        <cfvo type="percentile" val="50"/>
        <cfvo type="max"/>
        <color rgb="FFF8696B"/>
        <color rgb="FFFFEB84"/>
        <color rgb="FF63BE7B"/>
      </colorScale>
    </cfRule>
  </conditionalFormatting>
  <conditionalFormatting sqref="R42:T42">
    <cfRule type="colorScale" priority="1">
      <colorScale>
        <cfvo type="min"/>
        <cfvo type="percentile" val="50"/>
        <cfvo type="max"/>
        <color rgb="FFF8696B"/>
        <color rgb="FFFFEB84"/>
        <color rgb="FF63BE7B"/>
      </colorScale>
    </cfRule>
  </conditionalFormatting>
  <pageMargins left="0.27559055118110237" right="0.23622047244094491" top="0.54" bottom="0.37" header="0.27" footer="0.31496062992125984"/>
  <pageSetup paperSize="9" scale="77" fitToHeight="0" orientation="landscape" verticalDpi="180" r:id="rId1"/>
  <headerFooter differentFirst="1">
    <oddHeader>&amp;C&amp;"Times New Roman,обычный"&amp;8&amp;P</oddHeader>
  </headerFooter>
  <ignoredErrors>
    <ignoredError sqref="A43:A48 A23:A41" numberStoredAsText="1"/>
  </ignoredErrors>
  <drawing r:id="rId2"/>
  <legacyDrawing r:id="rId3"/>
  <oleObjects>
    <mc:AlternateContent xmlns:mc="http://schemas.openxmlformats.org/markup-compatibility/2006">
      <mc:Choice Requires="x14">
        <oleObject progId="Excel.Chart.8" shapeId="1025" r:id="rId4">
          <objectPr defaultSize="0" autoPict="0" r:id="rId5">
            <anchor moveWithCells="1" sizeWithCells="1">
              <from>
                <xdr:col>20</xdr:col>
                <xdr:colOff>0</xdr:colOff>
                <xdr:row>48</xdr:row>
                <xdr:rowOff>0</xdr:rowOff>
              </from>
              <to>
                <xdr:col>20</xdr:col>
                <xdr:colOff>0</xdr:colOff>
                <xdr:row>80</xdr:row>
                <xdr:rowOff>514350</xdr:rowOff>
              </to>
            </anchor>
          </objectPr>
        </oleObject>
      </mc:Choice>
      <mc:Fallback>
        <oleObject progId="Excel.Chart.8" shapeId="1025"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28"/>
  <sheetViews>
    <sheetView topLeftCell="A4" zoomScaleNormal="100" workbookViewId="0">
      <selection activeCell="B15" sqref="B15"/>
    </sheetView>
  </sheetViews>
  <sheetFormatPr defaultRowHeight="15" x14ac:dyDescent="0.25"/>
  <cols>
    <col min="1" max="1" width="4.5703125" style="29" customWidth="1"/>
    <col min="2" max="2" width="51.85546875" style="4" customWidth="1"/>
    <col min="3" max="7" width="11.140625" style="4" customWidth="1"/>
    <col min="8" max="228" width="9.140625" style="4"/>
    <col min="229" max="229" width="3.7109375" style="4" customWidth="1"/>
    <col min="230" max="230" width="41.140625" style="4" customWidth="1"/>
    <col min="231" max="231" width="4.7109375" style="4" customWidth="1"/>
    <col min="232" max="232" width="4.85546875" style="4" customWidth="1"/>
    <col min="233" max="233" width="7.140625" style="4" customWidth="1"/>
    <col min="234" max="234" width="6.7109375" style="4" customWidth="1"/>
    <col min="235" max="235" width="6.5703125" style="4" customWidth="1"/>
    <col min="236" max="236" width="6.42578125" style="4" customWidth="1"/>
    <col min="237" max="237" width="6" style="4" customWidth="1"/>
    <col min="238" max="238" width="7.7109375" style="4" customWidth="1"/>
    <col min="239" max="239" width="8" style="4" customWidth="1"/>
    <col min="240" max="240" width="7.140625" style="4" customWidth="1"/>
    <col min="241" max="241" width="6.5703125" style="4" customWidth="1"/>
    <col min="242" max="242" width="5.42578125" style="4" customWidth="1"/>
    <col min="243" max="243" width="4.140625" style="4" customWidth="1"/>
    <col min="244" max="244" width="5.85546875" style="4" customWidth="1"/>
    <col min="245" max="245" width="4.7109375" style="4" customWidth="1"/>
    <col min="246" max="246" width="7.42578125" style="4" customWidth="1"/>
    <col min="247" max="247" width="8.140625" style="4" customWidth="1"/>
    <col min="248" max="248" width="8.28515625" style="4" customWidth="1"/>
    <col min="249" max="484" width="9.140625" style="4"/>
    <col min="485" max="485" width="3.7109375" style="4" customWidth="1"/>
    <col min="486" max="486" width="41.140625" style="4" customWidth="1"/>
    <col min="487" max="487" width="4.7109375" style="4" customWidth="1"/>
    <col min="488" max="488" width="4.85546875" style="4" customWidth="1"/>
    <col min="489" max="489" width="7.140625" style="4" customWidth="1"/>
    <col min="490" max="490" width="6.7109375" style="4" customWidth="1"/>
    <col min="491" max="491" width="6.5703125" style="4" customWidth="1"/>
    <col min="492" max="492" width="6.42578125" style="4" customWidth="1"/>
    <col min="493" max="493" width="6" style="4" customWidth="1"/>
    <col min="494" max="494" width="7.7109375" style="4" customWidth="1"/>
    <col min="495" max="495" width="8" style="4" customWidth="1"/>
    <col min="496" max="496" width="7.140625" style="4" customWidth="1"/>
    <col min="497" max="497" width="6.5703125" style="4" customWidth="1"/>
    <col min="498" max="498" width="5.42578125" style="4" customWidth="1"/>
    <col min="499" max="499" width="4.140625" style="4" customWidth="1"/>
    <col min="500" max="500" width="5.85546875" style="4" customWidth="1"/>
    <col min="501" max="501" width="4.7109375" style="4" customWidth="1"/>
    <col min="502" max="502" width="7.42578125" style="4" customWidth="1"/>
    <col min="503" max="503" width="8.140625" style="4" customWidth="1"/>
    <col min="504" max="504" width="8.28515625" style="4" customWidth="1"/>
    <col min="505" max="740" width="9.140625" style="4"/>
    <col min="741" max="741" width="3.7109375" style="4" customWidth="1"/>
    <col min="742" max="742" width="41.140625" style="4" customWidth="1"/>
    <col min="743" max="743" width="4.7109375" style="4" customWidth="1"/>
    <col min="744" max="744" width="4.85546875" style="4" customWidth="1"/>
    <col min="745" max="745" width="7.140625" style="4" customWidth="1"/>
    <col min="746" max="746" width="6.7109375" style="4" customWidth="1"/>
    <col min="747" max="747" width="6.5703125" style="4" customWidth="1"/>
    <col min="748" max="748" width="6.42578125" style="4" customWidth="1"/>
    <col min="749" max="749" width="6" style="4" customWidth="1"/>
    <col min="750" max="750" width="7.7109375" style="4" customWidth="1"/>
    <col min="751" max="751" width="8" style="4" customWidth="1"/>
    <col min="752" max="752" width="7.140625" style="4" customWidth="1"/>
    <col min="753" max="753" width="6.5703125" style="4" customWidth="1"/>
    <col min="754" max="754" width="5.42578125" style="4" customWidth="1"/>
    <col min="755" max="755" width="4.140625" style="4" customWidth="1"/>
    <col min="756" max="756" width="5.85546875" style="4" customWidth="1"/>
    <col min="757" max="757" width="4.7109375" style="4" customWidth="1"/>
    <col min="758" max="758" width="7.42578125" style="4" customWidth="1"/>
    <col min="759" max="759" width="8.140625" style="4" customWidth="1"/>
    <col min="760" max="760" width="8.28515625" style="4" customWidth="1"/>
    <col min="761" max="996" width="9.140625" style="4"/>
    <col min="997" max="997" width="3.7109375" style="4" customWidth="1"/>
    <col min="998" max="998" width="41.140625" style="4" customWidth="1"/>
    <col min="999" max="999" width="4.7109375" style="4" customWidth="1"/>
    <col min="1000" max="1000" width="4.85546875" style="4" customWidth="1"/>
    <col min="1001" max="1001" width="7.140625" style="4" customWidth="1"/>
    <col min="1002" max="1002" width="6.7109375" style="4" customWidth="1"/>
    <col min="1003" max="1003" width="6.5703125" style="4" customWidth="1"/>
    <col min="1004" max="1004" width="6.42578125" style="4" customWidth="1"/>
    <col min="1005" max="1005" width="6" style="4" customWidth="1"/>
    <col min="1006" max="1006" width="7.7109375" style="4" customWidth="1"/>
    <col min="1007" max="1007" width="8" style="4" customWidth="1"/>
    <col min="1008" max="1008" width="7.140625" style="4" customWidth="1"/>
    <col min="1009" max="1009" width="6.5703125" style="4" customWidth="1"/>
    <col min="1010" max="1010" width="5.42578125" style="4" customWidth="1"/>
    <col min="1011" max="1011" width="4.140625" style="4" customWidth="1"/>
    <col min="1012" max="1012" width="5.85546875" style="4" customWidth="1"/>
    <col min="1013" max="1013" width="4.7109375" style="4" customWidth="1"/>
    <col min="1014" max="1014" width="7.42578125" style="4" customWidth="1"/>
    <col min="1015" max="1015" width="8.140625" style="4" customWidth="1"/>
    <col min="1016" max="1016" width="8.28515625" style="4" customWidth="1"/>
    <col min="1017" max="1252" width="9.140625" style="4"/>
    <col min="1253" max="1253" width="3.7109375" style="4" customWidth="1"/>
    <col min="1254" max="1254" width="41.140625" style="4" customWidth="1"/>
    <col min="1255" max="1255" width="4.7109375" style="4" customWidth="1"/>
    <col min="1256" max="1256" width="4.85546875" style="4" customWidth="1"/>
    <col min="1257" max="1257" width="7.140625" style="4" customWidth="1"/>
    <col min="1258" max="1258" width="6.7109375" style="4" customWidth="1"/>
    <col min="1259" max="1259" width="6.5703125" style="4" customWidth="1"/>
    <col min="1260" max="1260" width="6.42578125" style="4" customWidth="1"/>
    <col min="1261" max="1261" width="6" style="4" customWidth="1"/>
    <col min="1262" max="1262" width="7.7109375" style="4" customWidth="1"/>
    <col min="1263" max="1263" width="8" style="4" customWidth="1"/>
    <col min="1264" max="1264" width="7.140625" style="4" customWidth="1"/>
    <col min="1265" max="1265" width="6.5703125" style="4" customWidth="1"/>
    <col min="1266" max="1266" width="5.42578125" style="4" customWidth="1"/>
    <col min="1267" max="1267" width="4.140625" style="4" customWidth="1"/>
    <col min="1268" max="1268" width="5.85546875" style="4" customWidth="1"/>
    <col min="1269" max="1269" width="4.7109375" style="4" customWidth="1"/>
    <col min="1270" max="1270" width="7.42578125" style="4" customWidth="1"/>
    <col min="1271" max="1271" width="8.140625" style="4" customWidth="1"/>
    <col min="1272" max="1272" width="8.28515625" style="4" customWidth="1"/>
    <col min="1273" max="1508" width="9.140625" style="4"/>
    <col min="1509" max="1509" width="3.7109375" style="4" customWidth="1"/>
    <col min="1510" max="1510" width="41.140625" style="4" customWidth="1"/>
    <col min="1511" max="1511" width="4.7109375" style="4" customWidth="1"/>
    <col min="1512" max="1512" width="4.85546875" style="4" customWidth="1"/>
    <col min="1513" max="1513" width="7.140625" style="4" customWidth="1"/>
    <col min="1514" max="1514" width="6.7109375" style="4" customWidth="1"/>
    <col min="1515" max="1515" width="6.5703125" style="4" customWidth="1"/>
    <col min="1516" max="1516" width="6.42578125" style="4" customWidth="1"/>
    <col min="1517" max="1517" width="6" style="4" customWidth="1"/>
    <col min="1518" max="1518" width="7.7109375" style="4" customWidth="1"/>
    <col min="1519" max="1519" width="8" style="4" customWidth="1"/>
    <col min="1520" max="1520" width="7.140625" style="4" customWidth="1"/>
    <col min="1521" max="1521" width="6.5703125" style="4" customWidth="1"/>
    <col min="1522" max="1522" width="5.42578125" style="4" customWidth="1"/>
    <col min="1523" max="1523" width="4.140625" style="4" customWidth="1"/>
    <col min="1524" max="1524" width="5.85546875" style="4" customWidth="1"/>
    <col min="1525" max="1525" width="4.7109375" style="4" customWidth="1"/>
    <col min="1526" max="1526" width="7.42578125" style="4" customWidth="1"/>
    <col min="1527" max="1527" width="8.140625" style="4" customWidth="1"/>
    <col min="1528" max="1528" width="8.28515625" style="4" customWidth="1"/>
    <col min="1529" max="1764" width="9.140625" style="4"/>
    <col min="1765" max="1765" width="3.7109375" style="4" customWidth="1"/>
    <col min="1766" max="1766" width="41.140625" style="4" customWidth="1"/>
    <col min="1767" max="1767" width="4.7109375" style="4" customWidth="1"/>
    <col min="1768" max="1768" width="4.85546875" style="4" customWidth="1"/>
    <col min="1769" max="1769" width="7.140625" style="4" customWidth="1"/>
    <col min="1770" max="1770" width="6.7109375" style="4" customWidth="1"/>
    <col min="1771" max="1771" width="6.5703125" style="4" customWidth="1"/>
    <col min="1772" max="1772" width="6.42578125" style="4" customWidth="1"/>
    <col min="1773" max="1773" width="6" style="4" customWidth="1"/>
    <col min="1774" max="1774" width="7.7109375" style="4" customWidth="1"/>
    <col min="1775" max="1775" width="8" style="4" customWidth="1"/>
    <col min="1776" max="1776" width="7.140625" style="4" customWidth="1"/>
    <col min="1777" max="1777" width="6.5703125" style="4" customWidth="1"/>
    <col min="1778" max="1778" width="5.42578125" style="4" customWidth="1"/>
    <col min="1779" max="1779" width="4.140625" style="4" customWidth="1"/>
    <col min="1780" max="1780" width="5.85546875" style="4" customWidth="1"/>
    <col min="1781" max="1781" width="4.7109375" style="4" customWidth="1"/>
    <col min="1782" max="1782" width="7.42578125" style="4" customWidth="1"/>
    <col min="1783" max="1783" width="8.140625" style="4" customWidth="1"/>
    <col min="1784" max="1784" width="8.28515625" style="4" customWidth="1"/>
    <col min="1785" max="2020" width="9.140625" style="4"/>
    <col min="2021" max="2021" width="3.7109375" style="4" customWidth="1"/>
    <col min="2022" max="2022" width="41.140625" style="4" customWidth="1"/>
    <col min="2023" max="2023" width="4.7109375" style="4" customWidth="1"/>
    <col min="2024" max="2024" width="4.85546875" style="4" customWidth="1"/>
    <col min="2025" max="2025" width="7.140625" style="4" customWidth="1"/>
    <col min="2026" max="2026" width="6.7109375" style="4" customWidth="1"/>
    <col min="2027" max="2027" width="6.5703125" style="4" customWidth="1"/>
    <col min="2028" max="2028" width="6.42578125" style="4" customWidth="1"/>
    <col min="2029" max="2029" width="6" style="4" customWidth="1"/>
    <col min="2030" max="2030" width="7.7109375" style="4" customWidth="1"/>
    <col min="2031" max="2031" width="8" style="4" customWidth="1"/>
    <col min="2032" max="2032" width="7.140625" style="4" customWidth="1"/>
    <col min="2033" max="2033" width="6.5703125" style="4" customWidth="1"/>
    <col min="2034" max="2034" width="5.42578125" style="4" customWidth="1"/>
    <col min="2035" max="2035" width="4.140625" style="4" customWidth="1"/>
    <col min="2036" max="2036" width="5.85546875" style="4" customWidth="1"/>
    <col min="2037" max="2037" width="4.7109375" style="4" customWidth="1"/>
    <col min="2038" max="2038" width="7.42578125" style="4" customWidth="1"/>
    <col min="2039" max="2039" width="8.140625" style="4" customWidth="1"/>
    <col min="2040" max="2040" width="8.28515625" style="4" customWidth="1"/>
    <col min="2041" max="2276" width="9.140625" style="4"/>
    <col min="2277" max="2277" width="3.7109375" style="4" customWidth="1"/>
    <col min="2278" max="2278" width="41.140625" style="4" customWidth="1"/>
    <col min="2279" max="2279" width="4.7109375" style="4" customWidth="1"/>
    <col min="2280" max="2280" width="4.85546875" style="4" customWidth="1"/>
    <col min="2281" max="2281" width="7.140625" style="4" customWidth="1"/>
    <col min="2282" max="2282" width="6.7109375" style="4" customWidth="1"/>
    <col min="2283" max="2283" width="6.5703125" style="4" customWidth="1"/>
    <col min="2284" max="2284" width="6.42578125" style="4" customWidth="1"/>
    <col min="2285" max="2285" width="6" style="4" customWidth="1"/>
    <col min="2286" max="2286" width="7.7109375" style="4" customWidth="1"/>
    <col min="2287" max="2287" width="8" style="4" customWidth="1"/>
    <col min="2288" max="2288" width="7.140625" style="4" customWidth="1"/>
    <col min="2289" max="2289" width="6.5703125" style="4" customWidth="1"/>
    <col min="2290" max="2290" width="5.42578125" style="4" customWidth="1"/>
    <col min="2291" max="2291" width="4.140625" style="4" customWidth="1"/>
    <col min="2292" max="2292" width="5.85546875" style="4" customWidth="1"/>
    <col min="2293" max="2293" width="4.7109375" style="4" customWidth="1"/>
    <col min="2294" max="2294" width="7.42578125" style="4" customWidth="1"/>
    <col min="2295" max="2295" width="8.140625" style="4" customWidth="1"/>
    <col min="2296" max="2296" width="8.28515625" style="4" customWidth="1"/>
    <col min="2297" max="2532" width="9.140625" style="4"/>
    <col min="2533" max="2533" width="3.7109375" style="4" customWidth="1"/>
    <col min="2534" max="2534" width="41.140625" style="4" customWidth="1"/>
    <col min="2535" max="2535" width="4.7109375" style="4" customWidth="1"/>
    <col min="2536" max="2536" width="4.85546875" style="4" customWidth="1"/>
    <col min="2537" max="2537" width="7.140625" style="4" customWidth="1"/>
    <col min="2538" max="2538" width="6.7109375" style="4" customWidth="1"/>
    <col min="2539" max="2539" width="6.5703125" style="4" customWidth="1"/>
    <col min="2540" max="2540" width="6.42578125" style="4" customWidth="1"/>
    <col min="2541" max="2541" width="6" style="4" customWidth="1"/>
    <col min="2542" max="2542" width="7.7109375" style="4" customWidth="1"/>
    <col min="2543" max="2543" width="8" style="4" customWidth="1"/>
    <col min="2544" max="2544" width="7.140625" style="4" customWidth="1"/>
    <col min="2545" max="2545" width="6.5703125" style="4" customWidth="1"/>
    <col min="2546" max="2546" width="5.42578125" style="4" customWidth="1"/>
    <col min="2547" max="2547" width="4.140625" style="4" customWidth="1"/>
    <col min="2548" max="2548" width="5.85546875" style="4" customWidth="1"/>
    <col min="2549" max="2549" width="4.7109375" style="4" customWidth="1"/>
    <col min="2550" max="2550" width="7.42578125" style="4" customWidth="1"/>
    <col min="2551" max="2551" width="8.140625" style="4" customWidth="1"/>
    <col min="2552" max="2552" width="8.28515625" style="4" customWidth="1"/>
    <col min="2553" max="2788" width="9.140625" style="4"/>
    <col min="2789" max="2789" width="3.7109375" style="4" customWidth="1"/>
    <col min="2790" max="2790" width="41.140625" style="4" customWidth="1"/>
    <col min="2791" max="2791" width="4.7109375" style="4" customWidth="1"/>
    <col min="2792" max="2792" width="4.85546875" style="4" customWidth="1"/>
    <col min="2793" max="2793" width="7.140625" style="4" customWidth="1"/>
    <col min="2794" max="2794" width="6.7109375" style="4" customWidth="1"/>
    <col min="2795" max="2795" width="6.5703125" style="4" customWidth="1"/>
    <col min="2796" max="2796" width="6.42578125" style="4" customWidth="1"/>
    <col min="2797" max="2797" width="6" style="4" customWidth="1"/>
    <col min="2798" max="2798" width="7.7109375" style="4" customWidth="1"/>
    <col min="2799" max="2799" width="8" style="4" customWidth="1"/>
    <col min="2800" max="2800" width="7.140625" style="4" customWidth="1"/>
    <col min="2801" max="2801" width="6.5703125" style="4" customWidth="1"/>
    <col min="2802" max="2802" width="5.42578125" style="4" customWidth="1"/>
    <col min="2803" max="2803" width="4.140625" style="4" customWidth="1"/>
    <col min="2804" max="2804" width="5.85546875" style="4" customWidth="1"/>
    <col min="2805" max="2805" width="4.7109375" style="4" customWidth="1"/>
    <col min="2806" max="2806" width="7.42578125" style="4" customWidth="1"/>
    <col min="2807" max="2807" width="8.140625" style="4" customWidth="1"/>
    <col min="2808" max="2808" width="8.28515625" style="4" customWidth="1"/>
    <col min="2809" max="3044" width="9.140625" style="4"/>
    <col min="3045" max="3045" width="3.7109375" style="4" customWidth="1"/>
    <col min="3046" max="3046" width="41.140625" style="4" customWidth="1"/>
    <col min="3047" max="3047" width="4.7109375" style="4" customWidth="1"/>
    <col min="3048" max="3048" width="4.85546875" style="4" customWidth="1"/>
    <col min="3049" max="3049" width="7.140625" style="4" customWidth="1"/>
    <col min="3050" max="3050" width="6.7109375" style="4" customWidth="1"/>
    <col min="3051" max="3051" width="6.5703125" style="4" customWidth="1"/>
    <col min="3052" max="3052" width="6.42578125" style="4" customWidth="1"/>
    <col min="3053" max="3053" width="6" style="4" customWidth="1"/>
    <col min="3054" max="3054" width="7.7109375" style="4" customWidth="1"/>
    <col min="3055" max="3055" width="8" style="4" customWidth="1"/>
    <col min="3056" max="3056" width="7.140625" style="4" customWidth="1"/>
    <col min="3057" max="3057" width="6.5703125" style="4" customWidth="1"/>
    <col min="3058" max="3058" width="5.42578125" style="4" customWidth="1"/>
    <col min="3059" max="3059" width="4.140625" style="4" customWidth="1"/>
    <col min="3060" max="3060" width="5.85546875" style="4" customWidth="1"/>
    <col min="3061" max="3061" width="4.7109375" style="4" customWidth="1"/>
    <col min="3062" max="3062" width="7.42578125" style="4" customWidth="1"/>
    <col min="3063" max="3063" width="8.140625" style="4" customWidth="1"/>
    <col min="3064" max="3064" width="8.28515625" style="4" customWidth="1"/>
    <col min="3065" max="3300" width="9.140625" style="4"/>
    <col min="3301" max="3301" width="3.7109375" style="4" customWidth="1"/>
    <col min="3302" max="3302" width="41.140625" style="4" customWidth="1"/>
    <col min="3303" max="3303" width="4.7109375" style="4" customWidth="1"/>
    <col min="3304" max="3304" width="4.85546875" style="4" customWidth="1"/>
    <col min="3305" max="3305" width="7.140625" style="4" customWidth="1"/>
    <col min="3306" max="3306" width="6.7109375" style="4" customWidth="1"/>
    <col min="3307" max="3307" width="6.5703125" style="4" customWidth="1"/>
    <col min="3308" max="3308" width="6.42578125" style="4" customWidth="1"/>
    <col min="3309" max="3309" width="6" style="4" customWidth="1"/>
    <col min="3310" max="3310" width="7.7109375" style="4" customWidth="1"/>
    <col min="3311" max="3311" width="8" style="4" customWidth="1"/>
    <col min="3312" max="3312" width="7.140625" style="4" customWidth="1"/>
    <col min="3313" max="3313" width="6.5703125" style="4" customWidth="1"/>
    <col min="3314" max="3314" width="5.42578125" style="4" customWidth="1"/>
    <col min="3315" max="3315" width="4.140625" style="4" customWidth="1"/>
    <col min="3316" max="3316" width="5.85546875" style="4" customWidth="1"/>
    <col min="3317" max="3317" width="4.7109375" style="4" customWidth="1"/>
    <col min="3318" max="3318" width="7.42578125" style="4" customWidth="1"/>
    <col min="3319" max="3319" width="8.140625" style="4" customWidth="1"/>
    <col min="3320" max="3320" width="8.28515625" style="4" customWidth="1"/>
    <col min="3321" max="3556" width="9.140625" style="4"/>
    <col min="3557" max="3557" width="3.7109375" style="4" customWidth="1"/>
    <col min="3558" max="3558" width="41.140625" style="4" customWidth="1"/>
    <col min="3559" max="3559" width="4.7109375" style="4" customWidth="1"/>
    <col min="3560" max="3560" width="4.85546875" style="4" customWidth="1"/>
    <col min="3561" max="3561" width="7.140625" style="4" customWidth="1"/>
    <col min="3562" max="3562" width="6.7109375" style="4" customWidth="1"/>
    <col min="3563" max="3563" width="6.5703125" style="4" customWidth="1"/>
    <col min="3564" max="3564" width="6.42578125" style="4" customWidth="1"/>
    <col min="3565" max="3565" width="6" style="4" customWidth="1"/>
    <col min="3566" max="3566" width="7.7109375" style="4" customWidth="1"/>
    <col min="3567" max="3567" width="8" style="4" customWidth="1"/>
    <col min="3568" max="3568" width="7.140625" style="4" customWidth="1"/>
    <col min="3569" max="3569" width="6.5703125" style="4" customWidth="1"/>
    <col min="3570" max="3570" width="5.42578125" style="4" customWidth="1"/>
    <col min="3571" max="3571" width="4.140625" style="4" customWidth="1"/>
    <col min="3572" max="3572" width="5.85546875" style="4" customWidth="1"/>
    <col min="3573" max="3573" width="4.7109375" style="4" customWidth="1"/>
    <col min="3574" max="3574" width="7.42578125" style="4" customWidth="1"/>
    <col min="3575" max="3575" width="8.140625" style="4" customWidth="1"/>
    <col min="3576" max="3576" width="8.28515625" style="4" customWidth="1"/>
    <col min="3577" max="3812" width="9.140625" style="4"/>
    <col min="3813" max="3813" width="3.7109375" style="4" customWidth="1"/>
    <col min="3814" max="3814" width="41.140625" style="4" customWidth="1"/>
    <col min="3815" max="3815" width="4.7109375" style="4" customWidth="1"/>
    <col min="3816" max="3816" width="4.85546875" style="4" customWidth="1"/>
    <col min="3817" max="3817" width="7.140625" style="4" customWidth="1"/>
    <col min="3818" max="3818" width="6.7109375" style="4" customWidth="1"/>
    <col min="3819" max="3819" width="6.5703125" style="4" customWidth="1"/>
    <col min="3820" max="3820" width="6.42578125" style="4" customWidth="1"/>
    <col min="3821" max="3821" width="6" style="4" customWidth="1"/>
    <col min="3822" max="3822" width="7.7109375" style="4" customWidth="1"/>
    <col min="3823" max="3823" width="8" style="4" customWidth="1"/>
    <col min="3824" max="3824" width="7.140625" style="4" customWidth="1"/>
    <col min="3825" max="3825" width="6.5703125" style="4" customWidth="1"/>
    <col min="3826" max="3826" width="5.42578125" style="4" customWidth="1"/>
    <col min="3827" max="3827" width="4.140625" style="4" customWidth="1"/>
    <col min="3828" max="3828" width="5.85546875" style="4" customWidth="1"/>
    <col min="3829" max="3829" width="4.7109375" style="4" customWidth="1"/>
    <col min="3830" max="3830" width="7.42578125" style="4" customWidth="1"/>
    <col min="3831" max="3831" width="8.140625" style="4" customWidth="1"/>
    <col min="3832" max="3832" width="8.28515625" style="4" customWidth="1"/>
    <col min="3833" max="4068" width="9.140625" style="4"/>
    <col min="4069" max="4069" width="3.7109375" style="4" customWidth="1"/>
    <col min="4070" max="4070" width="41.140625" style="4" customWidth="1"/>
    <col min="4071" max="4071" width="4.7109375" style="4" customWidth="1"/>
    <col min="4072" max="4072" width="4.85546875" style="4" customWidth="1"/>
    <col min="4073" max="4073" width="7.140625" style="4" customWidth="1"/>
    <col min="4074" max="4074" width="6.7109375" style="4" customWidth="1"/>
    <col min="4075" max="4075" width="6.5703125" style="4" customWidth="1"/>
    <col min="4076" max="4076" width="6.42578125" style="4" customWidth="1"/>
    <col min="4077" max="4077" width="6" style="4" customWidth="1"/>
    <col min="4078" max="4078" width="7.7109375" style="4" customWidth="1"/>
    <col min="4079" max="4079" width="8" style="4" customWidth="1"/>
    <col min="4080" max="4080" width="7.140625" style="4" customWidth="1"/>
    <col min="4081" max="4081" width="6.5703125" style="4" customWidth="1"/>
    <col min="4082" max="4082" width="5.42578125" style="4" customWidth="1"/>
    <col min="4083" max="4083" width="4.140625" style="4" customWidth="1"/>
    <col min="4084" max="4084" width="5.85546875" style="4" customWidth="1"/>
    <col min="4085" max="4085" width="4.7109375" style="4" customWidth="1"/>
    <col min="4086" max="4086" width="7.42578125" style="4" customWidth="1"/>
    <col min="4087" max="4087" width="8.140625" style="4" customWidth="1"/>
    <col min="4088" max="4088" width="8.28515625" style="4" customWidth="1"/>
    <col min="4089" max="4324" width="9.140625" style="4"/>
    <col min="4325" max="4325" width="3.7109375" style="4" customWidth="1"/>
    <col min="4326" max="4326" width="41.140625" style="4" customWidth="1"/>
    <col min="4327" max="4327" width="4.7109375" style="4" customWidth="1"/>
    <col min="4328" max="4328" width="4.85546875" style="4" customWidth="1"/>
    <col min="4329" max="4329" width="7.140625" style="4" customWidth="1"/>
    <col min="4330" max="4330" width="6.7109375" style="4" customWidth="1"/>
    <col min="4331" max="4331" width="6.5703125" style="4" customWidth="1"/>
    <col min="4332" max="4332" width="6.42578125" style="4" customWidth="1"/>
    <col min="4333" max="4333" width="6" style="4" customWidth="1"/>
    <col min="4334" max="4334" width="7.7109375" style="4" customWidth="1"/>
    <col min="4335" max="4335" width="8" style="4" customWidth="1"/>
    <col min="4336" max="4336" width="7.140625" style="4" customWidth="1"/>
    <col min="4337" max="4337" width="6.5703125" style="4" customWidth="1"/>
    <col min="4338" max="4338" width="5.42578125" style="4" customWidth="1"/>
    <col min="4339" max="4339" width="4.140625" style="4" customWidth="1"/>
    <col min="4340" max="4340" width="5.85546875" style="4" customWidth="1"/>
    <col min="4341" max="4341" width="4.7109375" style="4" customWidth="1"/>
    <col min="4342" max="4342" width="7.42578125" style="4" customWidth="1"/>
    <col min="4343" max="4343" width="8.140625" style="4" customWidth="1"/>
    <col min="4344" max="4344" width="8.28515625" style="4" customWidth="1"/>
    <col min="4345" max="4580" width="9.140625" style="4"/>
    <col min="4581" max="4581" width="3.7109375" style="4" customWidth="1"/>
    <col min="4582" max="4582" width="41.140625" style="4" customWidth="1"/>
    <col min="4583" max="4583" width="4.7109375" style="4" customWidth="1"/>
    <col min="4584" max="4584" width="4.85546875" style="4" customWidth="1"/>
    <col min="4585" max="4585" width="7.140625" style="4" customWidth="1"/>
    <col min="4586" max="4586" width="6.7109375" style="4" customWidth="1"/>
    <col min="4587" max="4587" width="6.5703125" style="4" customWidth="1"/>
    <col min="4588" max="4588" width="6.42578125" style="4" customWidth="1"/>
    <col min="4589" max="4589" width="6" style="4" customWidth="1"/>
    <col min="4590" max="4590" width="7.7109375" style="4" customWidth="1"/>
    <col min="4591" max="4591" width="8" style="4" customWidth="1"/>
    <col min="4592" max="4592" width="7.140625" style="4" customWidth="1"/>
    <col min="4593" max="4593" width="6.5703125" style="4" customWidth="1"/>
    <col min="4594" max="4594" width="5.42578125" style="4" customWidth="1"/>
    <col min="4595" max="4595" width="4.140625" style="4" customWidth="1"/>
    <col min="4596" max="4596" width="5.85546875" style="4" customWidth="1"/>
    <col min="4597" max="4597" width="4.7109375" style="4" customWidth="1"/>
    <col min="4598" max="4598" width="7.42578125" style="4" customWidth="1"/>
    <col min="4599" max="4599" width="8.140625" style="4" customWidth="1"/>
    <col min="4600" max="4600" width="8.28515625" style="4" customWidth="1"/>
    <col min="4601" max="4836" width="9.140625" style="4"/>
    <col min="4837" max="4837" width="3.7109375" style="4" customWidth="1"/>
    <col min="4838" max="4838" width="41.140625" style="4" customWidth="1"/>
    <col min="4839" max="4839" width="4.7109375" style="4" customWidth="1"/>
    <col min="4840" max="4840" width="4.85546875" style="4" customWidth="1"/>
    <col min="4841" max="4841" width="7.140625" style="4" customWidth="1"/>
    <col min="4842" max="4842" width="6.7109375" style="4" customWidth="1"/>
    <col min="4843" max="4843" width="6.5703125" style="4" customWidth="1"/>
    <col min="4844" max="4844" width="6.42578125" style="4" customWidth="1"/>
    <col min="4845" max="4845" width="6" style="4" customWidth="1"/>
    <col min="4846" max="4846" width="7.7109375" style="4" customWidth="1"/>
    <col min="4847" max="4847" width="8" style="4" customWidth="1"/>
    <col min="4848" max="4848" width="7.140625" style="4" customWidth="1"/>
    <col min="4849" max="4849" width="6.5703125" style="4" customWidth="1"/>
    <col min="4850" max="4850" width="5.42578125" style="4" customWidth="1"/>
    <col min="4851" max="4851" width="4.140625" style="4" customWidth="1"/>
    <col min="4852" max="4852" width="5.85546875" style="4" customWidth="1"/>
    <col min="4853" max="4853" width="4.7109375" style="4" customWidth="1"/>
    <col min="4854" max="4854" width="7.42578125" style="4" customWidth="1"/>
    <col min="4855" max="4855" width="8.140625" style="4" customWidth="1"/>
    <col min="4856" max="4856" width="8.28515625" style="4" customWidth="1"/>
    <col min="4857" max="5092" width="9.140625" style="4"/>
    <col min="5093" max="5093" width="3.7109375" style="4" customWidth="1"/>
    <col min="5094" max="5094" width="41.140625" style="4" customWidth="1"/>
    <col min="5095" max="5095" width="4.7109375" style="4" customWidth="1"/>
    <col min="5096" max="5096" width="4.85546875" style="4" customWidth="1"/>
    <col min="5097" max="5097" width="7.140625" style="4" customWidth="1"/>
    <col min="5098" max="5098" width="6.7109375" style="4" customWidth="1"/>
    <col min="5099" max="5099" width="6.5703125" style="4" customWidth="1"/>
    <col min="5100" max="5100" width="6.42578125" style="4" customWidth="1"/>
    <col min="5101" max="5101" width="6" style="4" customWidth="1"/>
    <col min="5102" max="5102" width="7.7109375" style="4" customWidth="1"/>
    <col min="5103" max="5103" width="8" style="4" customWidth="1"/>
    <col min="5104" max="5104" width="7.140625" style="4" customWidth="1"/>
    <col min="5105" max="5105" width="6.5703125" style="4" customWidth="1"/>
    <col min="5106" max="5106" width="5.42578125" style="4" customWidth="1"/>
    <col min="5107" max="5107" width="4.140625" style="4" customWidth="1"/>
    <col min="5108" max="5108" width="5.85546875" style="4" customWidth="1"/>
    <col min="5109" max="5109" width="4.7109375" style="4" customWidth="1"/>
    <col min="5110" max="5110" width="7.42578125" style="4" customWidth="1"/>
    <col min="5111" max="5111" width="8.140625" style="4" customWidth="1"/>
    <col min="5112" max="5112" width="8.28515625" style="4" customWidth="1"/>
    <col min="5113" max="5348" width="9.140625" style="4"/>
    <col min="5349" max="5349" width="3.7109375" style="4" customWidth="1"/>
    <col min="5350" max="5350" width="41.140625" style="4" customWidth="1"/>
    <col min="5351" max="5351" width="4.7109375" style="4" customWidth="1"/>
    <col min="5352" max="5352" width="4.85546875" style="4" customWidth="1"/>
    <col min="5353" max="5353" width="7.140625" style="4" customWidth="1"/>
    <col min="5354" max="5354" width="6.7109375" style="4" customWidth="1"/>
    <col min="5355" max="5355" width="6.5703125" style="4" customWidth="1"/>
    <col min="5356" max="5356" width="6.42578125" style="4" customWidth="1"/>
    <col min="5357" max="5357" width="6" style="4" customWidth="1"/>
    <col min="5358" max="5358" width="7.7109375" style="4" customWidth="1"/>
    <col min="5359" max="5359" width="8" style="4" customWidth="1"/>
    <col min="5360" max="5360" width="7.140625" style="4" customWidth="1"/>
    <col min="5361" max="5361" width="6.5703125" style="4" customWidth="1"/>
    <col min="5362" max="5362" width="5.42578125" style="4" customWidth="1"/>
    <col min="5363" max="5363" width="4.140625" style="4" customWidth="1"/>
    <col min="5364" max="5364" width="5.85546875" style="4" customWidth="1"/>
    <col min="5365" max="5365" width="4.7109375" style="4" customWidth="1"/>
    <col min="5366" max="5366" width="7.42578125" style="4" customWidth="1"/>
    <col min="5367" max="5367" width="8.140625" style="4" customWidth="1"/>
    <col min="5368" max="5368" width="8.28515625" style="4" customWidth="1"/>
    <col min="5369" max="5604" width="9.140625" style="4"/>
    <col min="5605" max="5605" width="3.7109375" style="4" customWidth="1"/>
    <col min="5606" max="5606" width="41.140625" style="4" customWidth="1"/>
    <col min="5607" max="5607" width="4.7109375" style="4" customWidth="1"/>
    <col min="5608" max="5608" width="4.85546875" style="4" customWidth="1"/>
    <col min="5609" max="5609" width="7.140625" style="4" customWidth="1"/>
    <col min="5610" max="5610" width="6.7109375" style="4" customWidth="1"/>
    <col min="5611" max="5611" width="6.5703125" style="4" customWidth="1"/>
    <col min="5612" max="5612" width="6.42578125" style="4" customWidth="1"/>
    <col min="5613" max="5613" width="6" style="4" customWidth="1"/>
    <col min="5614" max="5614" width="7.7109375" style="4" customWidth="1"/>
    <col min="5615" max="5615" width="8" style="4" customWidth="1"/>
    <col min="5616" max="5616" width="7.140625" style="4" customWidth="1"/>
    <col min="5617" max="5617" width="6.5703125" style="4" customWidth="1"/>
    <col min="5618" max="5618" width="5.42578125" style="4" customWidth="1"/>
    <col min="5619" max="5619" width="4.140625" style="4" customWidth="1"/>
    <col min="5620" max="5620" width="5.85546875" style="4" customWidth="1"/>
    <col min="5621" max="5621" width="4.7109375" style="4" customWidth="1"/>
    <col min="5622" max="5622" width="7.42578125" style="4" customWidth="1"/>
    <col min="5623" max="5623" width="8.140625" style="4" customWidth="1"/>
    <col min="5624" max="5624" width="8.28515625" style="4" customWidth="1"/>
    <col min="5625" max="5860" width="9.140625" style="4"/>
    <col min="5861" max="5861" width="3.7109375" style="4" customWidth="1"/>
    <col min="5862" max="5862" width="41.140625" style="4" customWidth="1"/>
    <col min="5863" max="5863" width="4.7109375" style="4" customWidth="1"/>
    <col min="5864" max="5864" width="4.85546875" style="4" customWidth="1"/>
    <col min="5865" max="5865" width="7.140625" style="4" customWidth="1"/>
    <col min="5866" max="5866" width="6.7109375" style="4" customWidth="1"/>
    <col min="5867" max="5867" width="6.5703125" style="4" customWidth="1"/>
    <col min="5868" max="5868" width="6.42578125" style="4" customWidth="1"/>
    <col min="5869" max="5869" width="6" style="4" customWidth="1"/>
    <col min="5870" max="5870" width="7.7109375" style="4" customWidth="1"/>
    <col min="5871" max="5871" width="8" style="4" customWidth="1"/>
    <col min="5872" max="5872" width="7.140625" style="4" customWidth="1"/>
    <col min="5873" max="5873" width="6.5703125" style="4" customWidth="1"/>
    <col min="5874" max="5874" width="5.42578125" style="4" customWidth="1"/>
    <col min="5875" max="5875" width="4.140625" style="4" customWidth="1"/>
    <col min="5876" max="5876" width="5.85546875" style="4" customWidth="1"/>
    <col min="5877" max="5877" width="4.7109375" style="4" customWidth="1"/>
    <col min="5878" max="5878" width="7.42578125" style="4" customWidth="1"/>
    <col min="5879" max="5879" width="8.140625" style="4" customWidth="1"/>
    <col min="5880" max="5880" width="8.28515625" style="4" customWidth="1"/>
    <col min="5881" max="6116" width="9.140625" style="4"/>
    <col min="6117" max="6117" width="3.7109375" style="4" customWidth="1"/>
    <col min="6118" max="6118" width="41.140625" style="4" customWidth="1"/>
    <col min="6119" max="6119" width="4.7109375" style="4" customWidth="1"/>
    <col min="6120" max="6120" width="4.85546875" style="4" customWidth="1"/>
    <col min="6121" max="6121" width="7.140625" style="4" customWidth="1"/>
    <col min="6122" max="6122" width="6.7109375" style="4" customWidth="1"/>
    <col min="6123" max="6123" width="6.5703125" style="4" customWidth="1"/>
    <col min="6124" max="6124" width="6.42578125" style="4" customWidth="1"/>
    <col min="6125" max="6125" width="6" style="4" customWidth="1"/>
    <col min="6126" max="6126" width="7.7109375" style="4" customWidth="1"/>
    <col min="6127" max="6127" width="8" style="4" customWidth="1"/>
    <col min="6128" max="6128" width="7.140625" style="4" customWidth="1"/>
    <col min="6129" max="6129" width="6.5703125" style="4" customWidth="1"/>
    <col min="6130" max="6130" width="5.42578125" style="4" customWidth="1"/>
    <col min="6131" max="6131" width="4.140625" style="4" customWidth="1"/>
    <col min="6132" max="6132" width="5.85546875" style="4" customWidth="1"/>
    <col min="6133" max="6133" width="4.7109375" style="4" customWidth="1"/>
    <col min="6134" max="6134" width="7.42578125" style="4" customWidth="1"/>
    <col min="6135" max="6135" width="8.140625" style="4" customWidth="1"/>
    <col min="6136" max="6136" width="8.28515625" style="4" customWidth="1"/>
    <col min="6137" max="6372" width="9.140625" style="4"/>
    <col min="6373" max="6373" width="3.7109375" style="4" customWidth="1"/>
    <col min="6374" max="6374" width="41.140625" style="4" customWidth="1"/>
    <col min="6375" max="6375" width="4.7109375" style="4" customWidth="1"/>
    <col min="6376" max="6376" width="4.85546875" style="4" customWidth="1"/>
    <col min="6377" max="6377" width="7.140625" style="4" customWidth="1"/>
    <col min="6378" max="6378" width="6.7109375" style="4" customWidth="1"/>
    <col min="6379" max="6379" width="6.5703125" style="4" customWidth="1"/>
    <col min="6380" max="6380" width="6.42578125" style="4" customWidth="1"/>
    <col min="6381" max="6381" width="6" style="4" customWidth="1"/>
    <col min="6382" max="6382" width="7.7109375" style="4" customWidth="1"/>
    <col min="6383" max="6383" width="8" style="4" customWidth="1"/>
    <col min="6384" max="6384" width="7.140625" style="4" customWidth="1"/>
    <col min="6385" max="6385" width="6.5703125" style="4" customWidth="1"/>
    <col min="6386" max="6386" width="5.42578125" style="4" customWidth="1"/>
    <col min="6387" max="6387" width="4.140625" style="4" customWidth="1"/>
    <col min="6388" max="6388" width="5.85546875" style="4" customWidth="1"/>
    <col min="6389" max="6389" width="4.7109375" style="4" customWidth="1"/>
    <col min="6390" max="6390" width="7.42578125" style="4" customWidth="1"/>
    <col min="6391" max="6391" width="8.140625" style="4" customWidth="1"/>
    <col min="6392" max="6392" width="8.28515625" style="4" customWidth="1"/>
    <col min="6393" max="6628" width="9.140625" style="4"/>
    <col min="6629" max="6629" width="3.7109375" style="4" customWidth="1"/>
    <col min="6630" max="6630" width="41.140625" style="4" customWidth="1"/>
    <col min="6631" max="6631" width="4.7109375" style="4" customWidth="1"/>
    <col min="6632" max="6632" width="4.85546875" style="4" customWidth="1"/>
    <col min="6633" max="6633" width="7.140625" style="4" customWidth="1"/>
    <col min="6634" max="6634" width="6.7109375" style="4" customWidth="1"/>
    <col min="6635" max="6635" width="6.5703125" style="4" customWidth="1"/>
    <col min="6636" max="6636" width="6.42578125" style="4" customWidth="1"/>
    <col min="6637" max="6637" width="6" style="4" customWidth="1"/>
    <col min="6638" max="6638" width="7.7109375" style="4" customWidth="1"/>
    <col min="6639" max="6639" width="8" style="4" customWidth="1"/>
    <col min="6640" max="6640" width="7.140625" style="4" customWidth="1"/>
    <col min="6641" max="6641" width="6.5703125" style="4" customWidth="1"/>
    <col min="6642" max="6642" width="5.42578125" style="4" customWidth="1"/>
    <col min="6643" max="6643" width="4.140625" style="4" customWidth="1"/>
    <col min="6644" max="6644" width="5.85546875" style="4" customWidth="1"/>
    <col min="6645" max="6645" width="4.7109375" style="4" customWidth="1"/>
    <col min="6646" max="6646" width="7.42578125" style="4" customWidth="1"/>
    <col min="6647" max="6647" width="8.140625" style="4" customWidth="1"/>
    <col min="6648" max="6648" width="8.28515625" style="4" customWidth="1"/>
    <col min="6649" max="6884" width="9.140625" style="4"/>
    <col min="6885" max="6885" width="3.7109375" style="4" customWidth="1"/>
    <col min="6886" max="6886" width="41.140625" style="4" customWidth="1"/>
    <col min="6887" max="6887" width="4.7109375" style="4" customWidth="1"/>
    <col min="6888" max="6888" width="4.85546875" style="4" customWidth="1"/>
    <col min="6889" max="6889" width="7.140625" style="4" customWidth="1"/>
    <col min="6890" max="6890" width="6.7109375" style="4" customWidth="1"/>
    <col min="6891" max="6891" width="6.5703125" style="4" customWidth="1"/>
    <col min="6892" max="6892" width="6.42578125" style="4" customWidth="1"/>
    <col min="6893" max="6893" width="6" style="4" customWidth="1"/>
    <col min="6894" max="6894" width="7.7109375" style="4" customWidth="1"/>
    <col min="6895" max="6895" width="8" style="4" customWidth="1"/>
    <col min="6896" max="6896" width="7.140625" style="4" customWidth="1"/>
    <col min="6897" max="6897" width="6.5703125" style="4" customWidth="1"/>
    <col min="6898" max="6898" width="5.42578125" style="4" customWidth="1"/>
    <col min="6899" max="6899" width="4.140625" style="4" customWidth="1"/>
    <col min="6900" max="6900" width="5.85546875" style="4" customWidth="1"/>
    <col min="6901" max="6901" width="4.7109375" style="4" customWidth="1"/>
    <col min="6902" max="6902" width="7.42578125" style="4" customWidth="1"/>
    <col min="6903" max="6903" width="8.140625" style="4" customWidth="1"/>
    <col min="6904" max="6904" width="8.28515625" style="4" customWidth="1"/>
    <col min="6905" max="7140" width="9.140625" style="4"/>
    <col min="7141" max="7141" width="3.7109375" style="4" customWidth="1"/>
    <col min="7142" max="7142" width="41.140625" style="4" customWidth="1"/>
    <col min="7143" max="7143" width="4.7109375" style="4" customWidth="1"/>
    <col min="7144" max="7144" width="4.85546875" style="4" customWidth="1"/>
    <col min="7145" max="7145" width="7.140625" style="4" customWidth="1"/>
    <col min="7146" max="7146" width="6.7109375" style="4" customWidth="1"/>
    <col min="7147" max="7147" width="6.5703125" style="4" customWidth="1"/>
    <col min="7148" max="7148" width="6.42578125" style="4" customWidth="1"/>
    <col min="7149" max="7149" width="6" style="4" customWidth="1"/>
    <col min="7150" max="7150" width="7.7109375" style="4" customWidth="1"/>
    <col min="7151" max="7151" width="8" style="4" customWidth="1"/>
    <col min="7152" max="7152" width="7.140625" style="4" customWidth="1"/>
    <col min="7153" max="7153" width="6.5703125" style="4" customWidth="1"/>
    <col min="7154" max="7154" width="5.42578125" style="4" customWidth="1"/>
    <col min="7155" max="7155" width="4.140625" style="4" customWidth="1"/>
    <col min="7156" max="7156" width="5.85546875" style="4" customWidth="1"/>
    <col min="7157" max="7157" width="4.7109375" style="4" customWidth="1"/>
    <col min="7158" max="7158" width="7.42578125" style="4" customWidth="1"/>
    <col min="7159" max="7159" width="8.140625" style="4" customWidth="1"/>
    <col min="7160" max="7160" width="8.28515625" style="4" customWidth="1"/>
    <col min="7161" max="7396" width="9.140625" style="4"/>
    <col min="7397" max="7397" width="3.7109375" style="4" customWidth="1"/>
    <col min="7398" max="7398" width="41.140625" style="4" customWidth="1"/>
    <col min="7399" max="7399" width="4.7109375" style="4" customWidth="1"/>
    <col min="7400" max="7400" width="4.85546875" style="4" customWidth="1"/>
    <col min="7401" max="7401" width="7.140625" style="4" customWidth="1"/>
    <col min="7402" max="7402" width="6.7109375" style="4" customWidth="1"/>
    <col min="7403" max="7403" width="6.5703125" style="4" customWidth="1"/>
    <col min="7404" max="7404" width="6.42578125" style="4" customWidth="1"/>
    <col min="7405" max="7405" width="6" style="4" customWidth="1"/>
    <col min="7406" max="7406" width="7.7109375" style="4" customWidth="1"/>
    <col min="7407" max="7407" width="8" style="4" customWidth="1"/>
    <col min="7408" max="7408" width="7.140625" style="4" customWidth="1"/>
    <col min="7409" max="7409" width="6.5703125" style="4" customWidth="1"/>
    <col min="7410" max="7410" width="5.42578125" style="4" customWidth="1"/>
    <col min="7411" max="7411" width="4.140625" style="4" customWidth="1"/>
    <col min="7412" max="7412" width="5.85546875" style="4" customWidth="1"/>
    <col min="7413" max="7413" width="4.7109375" style="4" customWidth="1"/>
    <col min="7414" max="7414" width="7.42578125" style="4" customWidth="1"/>
    <col min="7415" max="7415" width="8.140625" style="4" customWidth="1"/>
    <col min="7416" max="7416" width="8.28515625" style="4" customWidth="1"/>
    <col min="7417" max="7652" width="9.140625" style="4"/>
    <col min="7653" max="7653" width="3.7109375" style="4" customWidth="1"/>
    <col min="7654" max="7654" width="41.140625" style="4" customWidth="1"/>
    <col min="7655" max="7655" width="4.7109375" style="4" customWidth="1"/>
    <col min="7656" max="7656" width="4.85546875" style="4" customWidth="1"/>
    <col min="7657" max="7657" width="7.140625" style="4" customWidth="1"/>
    <col min="7658" max="7658" width="6.7109375" style="4" customWidth="1"/>
    <col min="7659" max="7659" width="6.5703125" style="4" customWidth="1"/>
    <col min="7660" max="7660" width="6.42578125" style="4" customWidth="1"/>
    <col min="7661" max="7661" width="6" style="4" customWidth="1"/>
    <col min="7662" max="7662" width="7.7109375" style="4" customWidth="1"/>
    <col min="7663" max="7663" width="8" style="4" customWidth="1"/>
    <col min="7664" max="7664" width="7.140625" style="4" customWidth="1"/>
    <col min="7665" max="7665" width="6.5703125" style="4" customWidth="1"/>
    <col min="7666" max="7666" width="5.42578125" style="4" customWidth="1"/>
    <col min="7667" max="7667" width="4.140625" style="4" customWidth="1"/>
    <col min="7668" max="7668" width="5.85546875" style="4" customWidth="1"/>
    <col min="7669" max="7669" width="4.7109375" style="4" customWidth="1"/>
    <col min="7670" max="7670" width="7.42578125" style="4" customWidth="1"/>
    <col min="7671" max="7671" width="8.140625" style="4" customWidth="1"/>
    <col min="7672" max="7672" width="8.28515625" style="4" customWidth="1"/>
    <col min="7673" max="7908" width="9.140625" style="4"/>
    <col min="7909" max="7909" width="3.7109375" style="4" customWidth="1"/>
    <col min="7910" max="7910" width="41.140625" style="4" customWidth="1"/>
    <col min="7911" max="7911" width="4.7109375" style="4" customWidth="1"/>
    <col min="7912" max="7912" width="4.85546875" style="4" customWidth="1"/>
    <col min="7913" max="7913" width="7.140625" style="4" customWidth="1"/>
    <col min="7914" max="7914" width="6.7109375" style="4" customWidth="1"/>
    <col min="7915" max="7915" width="6.5703125" style="4" customWidth="1"/>
    <col min="7916" max="7916" width="6.42578125" style="4" customWidth="1"/>
    <col min="7917" max="7917" width="6" style="4" customWidth="1"/>
    <col min="7918" max="7918" width="7.7109375" style="4" customWidth="1"/>
    <col min="7919" max="7919" width="8" style="4" customWidth="1"/>
    <col min="7920" max="7920" width="7.140625" style="4" customWidth="1"/>
    <col min="7921" max="7921" width="6.5703125" style="4" customWidth="1"/>
    <col min="7922" max="7922" width="5.42578125" style="4" customWidth="1"/>
    <col min="7923" max="7923" width="4.140625" style="4" customWidth="1"/>
    <col min="7924" max="7924" width="5.85546875" style="4" customWidth="1"/>
    <col min="7925" max="7925" width="4.7109375" style="4" customWidth="1"/>
    <col min="7926" max="7926" width="7.42578125" style="4" customWidth="1"/>
    <col min="7927" max="7927" width="8.140625" style="4" customWidth="1"/>
    <col min="7928" max="7928" width="8.28515625" style="4" customWidth="1"/>
    <col min="7929" max="8164" width="9.140625" style="4"/>
    <col min="8165" max="8165" width="3.7109375" style="4" customWidth="1"/>
    <col min="8166" max="8166" width="41.140625" style="4" customWidth="1"/>
    <col min="8167" max="8167" width="4.7109375" style="4" customWidth="1"/>
    <col min="8168" max="8168" width="4.85546875" style="4" customWidth="1"/>
    <col min="8169" max="8169" width="7.140625" style="4" customWidth="1"/>
    <col min="8170" max="8170" width="6.7109375" style="4" customWidth="1"/>
    <col min="8171" max="8171" width="6.5703125" style="4" customWidth="1"/>
    <col min="8172" max="8172" width="6.42578125" style="4" customWidth="1"/>
    <col min="8173" max="8173" width="6" style="4" customWidth="1"/>
    <col min="8174" max="8174" width="7.7109375" style="4" customWidth="1"/>
    <col min="8175" max="8175" width="8" style="4" customWidth="1"/>
    <col min="8176" max="8176" width="7.140625" style="4" customWidth="1"/>
    <col min="8177" max="8177" width="6.5703125" style="4" customWidth="1"/>
    <col min="8178" max="8178" width="5.42578125" style="4" customWidth="1"/>
    <col min="8179" max="8179" width="4.140625" style="4" customWidth="1"/>
    <col min="8180" max="8180" width="5.85546875" style="4" customWidth="1"/>
    <col min="8181" max="8181" width="4.7109375" style="4" customWidth="1"/>
    <col min="8182" max="8182" width="7.42578125" style="4" customWidth="1"/>
    <col min="8183" max="8183" width="8.140625" style="4" customWidth="1"/>
    <col min="8184" max="8184" width="8.28515625" style="4" customWidth="1"/>
    <col min="8185" max="8420" width="9.140625" style="4"/>
    <col min="8421" max="8421" width="3.7109375" style="4" customWidth="1"/>
    <col min="8422" max="8422" width="41.140625" style="4" customWidth="1"/>
    <col min="8423" max="8423" width="4.7109375" style="4" customWidth="1"/>
    <col min="8424" max="8424" width="4.85546875" style="4" customWidth="1"/>
    <col min="8425" max="8425" width="7.140625" style="4" customWidth="1"/>
    <col min="8426" max="8426" width="6.7109375" style="4" customWidth="1"/>
    <col min="8427" max="8427" width="6.5703125" style="4" customWidth="1"/>
    <col min="8428" max="8428" width="6.42578125" style="4" customWidth="1"/>
    <col min="8429" max="8429" width="6" style="4" customWidth="1"/>
    <col min="8430" max="8430" width="7.7109375" style="4" customWidth="1"/>
    <col min="8431" max="8431" width="8" style="4" customWidth="1"/>
    <col min="8432" max="8432" width="7.140625" style="4" customWidth="1"/>
    <col min="8433" max="8433" width="6.5703125" style="4" customWidth="1"/>
    <col min="8434" max="8434" width="5.42578125" style="4" customWidth="1"/>
    <col min="8435" max="8435" width="4.140625" style="4" customWidth="1"/>
    <col min="8436" max="8436" width="5.85546875" style="4" customWidth="1"/>
    <col min="8437" max="8437" width="4.7109375" style="4" customWidth="1"/>
    <col min="8438" max="8438" width="7.42578125" style="4" customWidth="1"/>
    <col min="8439" max="8439" width="8.140625" style="4" customWidth="1"/>
    <col min="8440" max="8440" width="8.28515625" style="4" customWidth="1"/>
    <col min="8441" max="8676" width="9.140625" style="4"/>
    <col min="8677" max="8677" width="3.7109375" style="4" customWidth="1"/>
    <col min="8678" max="8678" width="41.140625" style="4" customWidth="1"/>
    <col min="8679" max="8679" width="4.7109375" style="4" customWidth="1"/>
    <col min="8680" max="8680" width="4.85546875" style="4" customWidth="1"/>
    <col min="8681" max="8681" width="7.140625" style="4" customWidth="1"/>
    <col min="8682" max="8682" width="6.7109375" style="4" customWidth="1"/>
    <col min="8683" max="8683" width="6.5703125" style="4" customWidth="1"/>
    <col min="8684" max="8684" width="6.42578125" style="4" customWidth="1"/>
    <col min="8685" max="8685" width="6" style="4" customWidth="1"/>
    <col min="8686" max="8686" width="7.7109375" style="4" customWidth="1"/>
    <col min="8687" max="8687" width="8" style="4" customWidth="1"/>
    <col min="8688" max="8688" width="7.140625" style="4" customWidth="1"/>
    <col min="8689" max="8689" width="6.5703125" style="4" customWidth="1"/>
    <col min="8690" max="8690" width="5.42578125" style="4" customWidth="1"/>
    <col min="8691" max="8691" width="4.140625" style="4" customWidth="1"/>
    <col min="8692" max="8692" width="5.85546875" style="4" customWidth="1"/>
    <col min="8693" max="8693" width="4.7109375" style="4" customWidth="1"/>
    <col min="8694" max="8694" width="7.42578125" style="4" customWidth="1"/>
    <col min="8695" max="8695" width="8.140625" style="4" customWidth="1"/>
    <col min="8696" max="8696" width="8.28515625" style="4" customWidth="1"/>
    <col min="8697" max="8932" width="9.140625" style="4"/>
    <col min="8933" max="8933" width="3.7109375" style="4" customWidth="1"/>
    <col min="8934" max="8934" width="41.140625" style="4" customWidth="1"/>
    <col min="8935" max="8935" width="4.7109375" style="4" customWidth="1"/>
    <col min="8936" max="8936" width="4.85546875" style="4" customWidth="1"/>
    <col min="8937" max="8937" width="7.140625" style="4" customWidth="1"/>
    <col min="8938" max="8938" width="6.7109375" style="4" customWidth="1"/>
    <col min="8939" max="8939" width="6.5703125" style="4" customWidth="1"/>
    <col min="8940" max="8940" width="6.42578125" style="4" customWidth="1"/>
    <col min="8941" max="8941" width="6" style="4" customWidth="1"/>
    <col min="8942" max="8942" width="7.7109375" style="4" customWidth="1"/>
    <col min="8943" max="8943" width="8" style="4" customWidth="1"/>
    <col min="8944" max="8944" width="7.140625" style="4" customWidth="1"/>
    <col min="8945" max="8945" width="6.5703125" style="4" customWidth="1"/>
    <col min="8946" max="8946" width="5.42578125" style="4" customWidth="1"/>
    <col min="8947" max="8947" width="4.140625" style="4" customWidth="1"/>
    <col min="8948" max="8948" width="5.85546875" style="4" customWidth="1"/>
    <col min="8949" max="8949" width="4.7109375" style="4" customWidth="1"/>
    <col min="8950" max="8950" width="7.42578125" style="4" customWidth="1"/>
    <col min="8951" max="8951" width="8.140625" style="4" customWidth="1"/>
    <col min="8952" max="8952" width="8.28515625" style="4" customWidth="1"/>
    <col min="8953" max="9188" width="9.140625" style="4"/>
    <col min="9189" max="9189" width="3.7109375" style="4" customWidth="1"/>
    <col min="9190" max="9190" width="41.140625" style="4" customWidth="1"/>
    <col min="9191" max="9191" width="4.7109375" style="4" customWidth="1"/>
    <col min="9192" max="9192" width="4.85546875" style="4" customWidth="1"/>
    <col min="9193" max="9193" width="7.140625" style="4" customWidth="1"/>
    <col min="9194" max="9194" width="6.7109375" style="4" customWidth="1"/>
    <col min="9195" max="9195" width="6.5703125" style="4" customWidth="1"/>
    <col min="9196" max="9196" width="6.42578125" style="4" customWidth="1"/>
    <col min="9197" max="9197" width="6" style="4" customWidth="1"/>
    <col min="9198" max="9198" width="7.7109375" style="4" customWidth="1"/>
    <col min="9199" max="9199" width="8" style="4" customWidth="1"/>
    <col min="9200" max="9200" width="7.140625" style="4" customWidth="1"/>
    <col min="9201" max="9201" width="6.5703125" style="4" customWidth="1"/>
    <col min="9202" max="9202" width="5.42578125" style="4" customWidth="1"/>
    <col min="9203" max="9203" width="4.140625" style="4" customWidth="1"/>
    <col min="9204" max="9204" width="5.85546875" style="4" customWidth="1"/>
    <col min="9205" max="9205" width="4.7109375" style="4" customWidth="1"/>
    <col min="9206" max="9206" width="7.42578125" style="4" customWidth="1"/>
    <col min="9207" max="9207" width="8.140625" style="4" customWidth="1"/>
    <col min="9208" max="9208" width="8.28515625" style="4" customWidth="1"/>
    <col min="9209" max="9444" width="9.140625" style="4"/>
    <col min="9445" max="9445" width="3.7109375" style="4" customWidth="1"/>
    <col min="9446" max="9446" width="41.140625" style="4" customWidth="1"/>
    <col min="9447" max="9447" width="4.7109375" style="4" customWidth="1"/>
    <col min="9448" max="9448" width="4.85546875" style="4" customWidth="1"/>
    <col min="9449" max="9449" width="7.140625" style="4" customWidth="1"/>
    <col min="9450" max="9450" width="6.7109375" style="4" customWidth="1"/>
    <col min="9451" max="9451" width="6.5703125" style="4" customWidth="1"/>
    <col min="9452" max="9452" width="6.42578125" style="4" customWidth="1"/>
    <col min="9453" max="9453" width="6" style="4" customWidth="1"/>
    <col min="9454" max="9454" width="7.7109375" style="4" customWidth="1"/>
    <col min="9455" max="9455" width="8" style="4" customWidth="1"/>
    <col min="9456" max="9456" width="7.140625" style="4" customWidth="1"/>
    <col min="9457" max="9457" width="6.5703125" style="4" customWidth="1"/>
    <col min="9458" max="9458" width="5.42578125" style="4" customWidth="1"/>
    <col min="9459" max="9459" width="4.140625" style="4" customWidth="1"/>
    <col min="9460" max="9460" width="5.85546875" style="4" customWidth="1"/>
    <col min="9461" max="9461" width="4.7109375" style="4" customWidth="1"/>
    <col min="9462" max="9462" width="7.42578125" style="4" customWidth="1"/>
    <col min="9463" max="9463" width="8.140625" style="4" customWidth="1"/>
    <col min="9464" max="9464" width="8.28515625" style="4" customWidth="1"/>
    <col min="9465" max="9700" width="9.140625" style="4"/>
    <col min="9701" max="9701" width="3.7109375" style="4" customWidth="1"/>
    <col min="9702" max="9702" width="41.140625" style="4" customWidth="1"/>
    <col min="9703" max="9703" width="4.7109375" style="4" customWidth="1"/>
    <col min="9704" max="9704" width="4.85546875" style="4" customWidth="1"/>
    <col min="9705" max="9705" width="7.140625" style="4" customWidth="1"/>
    <col min="9706" max="9706" width="6.7109375" style="4" customWidth="1"/>
    <col min="9707" max="9707" width="6.5703125" style="4" customWidth="1"/>
    <col min="9708" max="9708" width="6.42578125" style="4" customWidth="1"/>
    <col min="9709" max="9709" width="6" style="4" customWidth="1"/>
    <col min="9710" max="9710" width="7.7109375" style="4" customWidth="1"/>
    <col min="9711" max="9711" width="8" style="4" customWidth="1"/>
    <col min="9712" max="9712" width="7.140625" style="4" customWidth="1"/>
    <col min="9713" max="9713" width="6.5703125" style="4" customWidth="1"/>
    <col min="9714" max="9714" width="5.42578125" style="4" customWidth="1"/>
    <col min="9715" max="9715" width="4.140625" style="4" customWidth="1"/>
    <col min="9716" max="9716" width="5.85546875" style="4" customWidth="1"/>
    <col min="9717" max="9717" width="4.7109375" style="4" customWidth="1"/>
    <col min="9718" max="9718" width="7.42578125" style="4" customWidth="1"/>
    <col min="9719" max="9719" width="8.140625" style="4" customWidth="1"/>
    <col min="9720" max="9720" width="8.28515625" style="4" customWidth="1"/>
    <col min="9721" max="9956" width="9.140625" style="4"/>
    <col min="9957" max="9957" width="3.7109375" style="4" customWidth="1"/>
    <col min="9958" max="9958" width="41.140625" style="4" customWidth="1"/>
    <col min="9959" max="9959" width="4.7109375" style="4" customWidth="1"/>
    <col min="9960" max="9960" width="4.85546875" style="4" customWidth="1"/>
    <col min="9961" max="9961" width="7.140625" style="4" customWidth="1"/>
    <col min="9962" max="9962" width="6.7109375" style="4" customWidth="1"/>
    <col min="9963" max="9963" width="6.5703125" style="4" customWidth="1"/>
    <col min="9964" max="9964" width="6.42578125" style="4" customWidth="1"/>
    <col min="9965" max="9965" width="6" style="4" customWidth="1"/>
    <col min="9966" max="9966" width="7.7109375" style="4" customWidth="1"/>
    <col min="9967" max="9967" width="8" style="4" customWidth="1"/>
    <col min="9968" max="9968" width="7.140625" style="4" customWidth="1"/>
    <col min="9969" max="9969" width="6.5703125" style="4" customWidth="1"/>
    <col min="9970" max="9970" width="5.42578125" style="4" customWidth="1"/>
    <col min="9971" max="9971" width="4.140625" style="4" customWidth="1"/>
    <col min="9972" max="9972" width="5.85546875" style="4" customWidth="1"/>
    <col min="9973" max="9973" width="4.7109375" style="4" customWidth="1"/>
    <col min="9974" max="9974" width="7.42578125" style="4" customWidth="1"/>
    <col min="9975" max="9975" width="8.140625" style="4" customWidth="1"/>
    <col min="9976" max="9976" width="8.28515625" style="4" customWidth="1"/>
    <col min="9977" max="10212" width="9.140625" style="4"/>
    <col min="10213" max="10213" width="3.7109375" style="4" customWidth="1"/>
    <col min="10214" max="10214" width="41.140625" style="4" customWidth="1"/>
    <col min="10215" max="10215" width="4.7109375" style="4" customWidth="1"/>
    <col min="10216" max="10216" width="4.85546875" style="4" customWidth="1"/>
    <col min="10217" max="10217" width="7.140625" style="4" customWidth="1"/>
    <col min="10218" max="10218" width="6.7109375" style="4" customWidth="1"/>
    <col min="10219" max="10219" width="6.5703125" style="4" customWidth="1"/>
    <col min="10220" max="10220" width="6.42578125" style="4" customWidth="1"/>
    <col min="10221" max="10221" width="6" style="4" customWidth="1"/>
    <col min="10222" max="10222" width="7.7109375" style="4" customWidth="1"/>
    <col min="10223" max="10223" width="8" style="4" customWidth="1"/>
    <col min="10224" max="10224" width="7.140625" style="4" customWidth="1"/>
    <col min="10225" max="10225" width="6.5703125" style="4" customWidth="1"/>
    <col min="10226" max="10226" width="5.42578125" style="4" customWidth="1"/>
    <col min="10227" max="10227" width="4.140625" style="4" customWidth="1"/>
    <col min="10228" max="10228" width="5.85546875" style="4" customWidth="1"/>
    <col min="10229" max="10229" width="4.7109375" style="4" customWidth="1"/>
    <col min="10230" max="10230" width="7.42578125" style="4" customWidth="1"/>
    <col min="10231" max="10231" width="8.140625" style="4" customWidth="1"/>
    <col min="10232" max="10232" width="8.28515625" style="4" customWidth="1"/>
    <col min="10233" max="10468" width="9.140625" style="4"/>
    <col min="10469" max="10469" width="3.7109375" style="4" customWidth="1"/>
    <col min="10470" max="10470" width="41.140625" style="4" customWidth="1"/>
    <col min="10471" max="10471" width="4.7109375" style="4" customWidth="1"/>
    <col min="10472" max="10472" width="4.85546875" style="4" customWidth="1"/>
    <col min="10473" max="10473" width="7.140625" style="4" customWidth="1"/>
    <col min="10474" max="10474" width="6.7109375" style="4" customWidth="1"/>
    <col min="10475" max="10475" width="6.5703125" style="4" customWidth="1"/>
    <col min="10476" max="10476" width="6.42578125" style="4" customWidth="1"/>
    <col min="10477" max="10477" width="6" style="4" customWidth="1"/>
    <col min="10478" max="10478" width="7.7109375" style="4" customWidth="1"/>
    <col min="10479" max="10479" width="8" style="4" customWidth="1"/>
    <col min="10480" max="10480" width="7.140625" style="4" customWidth="1"/>
    <col min="10481" max="10481" width="6.5703125" style="4" customWidth="1"/>
    <col min="10482" max="10482" width="5.42578125" style="4" customWidth="1"/>
    <col min="10483" max="10483" width="4.140625" style="4" customWidth="1"/>
    <col min="10484" max="10484" width="5.85546875" style="4" customWidth="1"/>
    <col min="10485" max="10485" width="4.7109375" style="4" customWidth="1"/>
    <col min="10486" max="10486" width="7.42578125" style="4" customWidth="1"/>
    <col min="10487" max="10487" width="8.140625" style="4" customWidth="1"/>
    <col min="10488" max="10488" width="8.28515625" style="4" customWidth="1"/>
    <col min="10489" max="10724" width="9.140625" style="4"/>
    <col min="10725" max="10725" width="3.7109375" style="4" customWidth="1"/>
    <col min="10726" max="10726" width="41.140625" style="4" customWidth="1"/>
    <col min="10727" max="10727" width="4.7109375" style="4" customWidth="1"/>
    <col min="10728" max="10728" width="4.85546875" style="4" customWidth="1"/>
    <col min="10729" max="10729" width="7.140625" style="4" customWidth="1"/>
    <col min="10730" max="10730" width="6.7109375" style="4" customWidth="1"/>
    <col min="10731" max="10731" width="6.5703125" style="4" customWidth="1"/>
    <col min="10732" max="10732" width="6.42578125" style="4" customWidth="1"/>
    <col min="10733" max="10733" width="6" style="4" customWidth="1"/>
    <col min="10734" max="10734" width="7.7109375" style="4" customWidth="1"/>
    <col min="10735" max="10735" width="8" style="4" customWidth="1"/>
    <col min="10736" max="10736" width="7.140625" style="4" customWidth="1"/>
    <col min="10737" max="10737" width="6.5703125" style="4" customWidth="1"/>
    <col min="10738" max="10738" width="5.42578125" style="4" customWidth="1"/>
    <col min="10739" max="10739" width="4.140625" style="4" customWidth="1"/>
    <col min="10740" max="10740" width="5.85546875" style="4" customWidth="1"/>
    <col min="10741" max="10741" width="4.7109375" style="4" customWidth="1"/>
    <col min="10742" max="10742" width="7.42578125" style="4" customWidth="1"/>
    <col min="10743" max="10743" width="8.140625" style="4" customWidth="1"/>
    <col min="10744" max="10744" width="8.28515625" style="4" customWidth="1"/>
    <col min="10745" max="10980" width="9.140625" style="4"/>
    <col min="10981" max="10981" width="3.7109375" style="4" customWidth="1"/>
    <col min="10982" max="10982" width="41.140625" style="4" customWidth="1"/>
    <col min="10983" max="10983" width="4.7109375" style="4" customWidth="1"/>
    <col min="10984" max="10984" width="4.85546875" style="4" customWidth="1"/>
    <col min="10985" max="10985" width="7.140625" style="4" customWidth="1"/>
    <col min="10986" max="10986" width="6.7109375" style="4" customWidth="1"/>
    <col min="10987" max="10987" width="6.5703125" style="4" customWidth="1"/>
    <col min="10988" max="10988" width="6.42578125" style="4" customWidth="1"/>
    <col min="10989" max="10989" width="6" style="4" customWidth="1"/>
    <col min="10990" max="10990" width="7.7109375" style="4" customWidth="1"/>
    <col min="10991" max="10991" width="8" style="4" customWidth="1"/>
    <col min="10992" max="10992" width="7.140625" style="4" customWidth="1"/>
    <col min="10993" max="10993" width="6.5703125" style="4" customWidth="1"/>
    <col min="10994" max="10994" width="5.42578125" style="4" customWidth="1"/>
    <col min="10995" max="10995" width="4.140625" style="4" customWidth="1"/>
    <col min="10996" max="10996" width="5.85546875" style="4" customWidth="1"/>
    <col min="10997" max="10997" width="4.7109375" style="4" customWidth="1"/>
    <col min="10998" max="10998" width="7.42578125" style="4" customWidth="1"/>
    <col min="10999" max="10999" width="8.140625" style="4" customWidth="1"/>
    <col min="11000" max="11000" width="8.28515625" style="4" customWidth="1"/>
    <col min="11001" max="11236" width="9.140625" style="4"/>
    <col min="11237" max="11237" width="3.7109375" style="4" customWidth="1"/>
    <col min="11238" max="11238" width="41.140625" style="4" customWidth="1"/>
    <col min="11239" max="11239" width="4.7109375" style="4" customWidth="1"/>
    <col min="11240" max="11240" width="4.85546875" style="4" customWidth="1"/>
    <col min="11241" max="11241" width="7.140625" style="4" customWidth="1"/>
    <col min="11242" max="11242" width="6.7109375" style="4" customWidth="1"/>
    <col min="11243" max="11243" width="6.5703125" style="4" customWidth="1"/>
    <col min="11244" max="11244" width="6.42578125" style="4" customWidth="1"/>
    <col min="11245" max="11245" width="6" style="4" customWidth="1"/>
    <col min="11246" max="11246" width="7.7109375" style="4" customWidth="1"/>
    <col min="11247" max="11247" width="8" style="4" customWidth="1"/>
    <col min="11248" max="11248" width="7.140625" style="4" customWidth="1"/>
    <col min="11249" max="11249" width="6.5703125" style="4" customWidth="1"/>
    <col min="11250" max="11250" width="5.42578125" style="4" customWidth="1"/>
    <col min="11251" max="11251" width="4.140625" style="4" customWidth="1"/>
    <col min="11252" max="11252" width="5.85546875" style="4" customWidth="1"/>
    <col min="11253" max="11253" width="4.7109375" style="4" customWidth="1"/>
    <col min="11254" max="11254" width="7.42578125" style="4" customWidth="1"/>
    <col min="11255" max="11255" width="8.140625" style="4" customWidth="1"/>
    <col min="11256" max="11256" width="8.28515625" style="4" customWidth="1"/>
    <col min="11257" max="11492" width="9.140625" style="4"/>
    <col min="11493" max="11493" width="3.7109375" style="4" customWidth="1"/>
    <col min="11494" max="11494" width="41.140625" style="4" customWidth="1"/>
    <col min="11495" max="11495" width="4.7109375" style="4" customWidth="1"/>
    <col min="11496" max="11496" width="4.85546875" style="4" customWidth="1"/>
    <col min="11497" max="11497" width="7.140625" style="4" customWidth="1"/>
    <col min="11498" max="11498" width="6.7109375" style="4" customWidth="1"/>
    <col min="11499" max="11499" width="6.5703125" style="4" customWidth="1"/>
    <col min="11500" max="11500" width="6.42578125" style="4" customWidth="1"/>
    <col min="11501" max="11501" width="6" style="4" customWidth="1"/>
    <col min="11502" max="11502" width="7.7109375" style="4" customWidth="1"/>
    <col min="11503" max="11503" width="8" style="4" customWidth="1"/>
    <col min="11504" max="11504" width="7.140625" style="4" customWidth="1"/>
    <col min="11505" max="11505" width="6.5703125" style="4" customWidth="1"/>
    <col min="11506" max="11506" width="5.42578125" style="4" customWidth="1"/>
    <col min="11507" max="11507" width="4.140625" style="4" customWidth="1"/>
    <col min="11508" max="11508" width="5.85546875" style="4" customWidth="1"/>
    <col min="11509" max="11509" width="4.7109375" style="4" customWidth="1"/>
    <col min="11510" max="11510" width="7.42578125" style="4" customWidth="1"/>
    <col min="11511" max="11511" width="8.140625" style="4" customWidth="1"/>
    <col min="11512" max="11512" width="8.28515625" style="4" customWidth="1"/>
    <col min="11513" max="11748" width="9.140625" style="4"/>
    <col min="11749" max="11749" width="3.7109375" style="4" customWidth="1"/>
    <col min="11750" max="11750" width="41.140625" style="4" customWidth="1"/>
    <col min="11751" max="11751" width="4.7109375" style="4" customWidth="1"/>
    <col min="11752" max="11752" width="4.85546875" style="4" customWidth="1"/>
    <col min="11753" max="11753" width="7.140625" style="4" customWidth="1"/>
    <col min="11754" max="11754" width="6.7109375" style="4" customWidth="1"/>
    <col min="11755" max="11755" width="6.5703125" style="4" customWidth="1"/>
    <col min="11756" max="11756" width="6.42578125" style="4" customWidth="1"/>
    <col min="11757" max="11757" width="6" style="4" customWidth="1"/>
    <col min="11758" max="11758" width="7.7109375" style="4" customWidth="1"/>
    <col min="11759" max="11759" width="8" style="4" customWidth="1"/>
    <col min="11760" max="11760" width="7.140625" style="4" customWidth="1"/>
    <col min="11761" max="11761" width="6.5703125" style="4" customWidth="1"/>
    <col min="11762" max="11762" width="5.42578125" style="4" customWidth="1"/>
    <col min="11763" max="11763" width="4.140625" style="4" customWidth="1"/>
    <col min="11764" max="11764" width="5.85546875" style="4" customWidth="1"/>
    <col min="11765" max="11765" width="4.7109375" style="4" customWidth="1"/>
    <col min="11766" max="11766" width="7.42578125" style="4" customWidth="1"/>
    <col min="11767" max="11767" width="8.140625" style="4" customWidth="1"/>
    <col min="11768" max="11768" width="8.28515625" style="4" customWidth="1"/>
    <col min="11769" max="12004" width="9.140625" style="4"/>
    <col min="12005" max="12005" width="3.7109375" style="4" customWidth="1"/>
    <col min="12006" max="12006" width="41.140625" style="4" customWidth="1"/>
    <col min="12007" max="12007" width="4.7109375" style="4" customWidth="1"/>
    <col min="12008" max="12008" width="4.85546875" style="4" customWidth="1"/>
    <col min="12009" max="12009" width="7.140625" style="4" customWidth="1"/>
    <col min="12010" max="12010" width="6.7109375" style="4" customWidth="1"/>
    <col min="12011" max="12011" width="6.5703125" style="4" customWidth="1"/>
    <col min="12012" max="12012" width="6.42578125" style="4" customWidth="1"/>
    <col min="12013" max="12013" width="6" style="4" customWidth="1"/>
    <col min="12014" max="12014" width="7.7109375" style="4" customWidth="1"/>
    <col min="12015" max="12015" width="8" style="4" customWidth="1"/>
    <col min="12016" max="12016" width="7.140625" style="4" customWidth="1"/>
    <col min="12017" max="12017" width="6.5703125" style="4" customWidth="1"/>
    <col min="12018" max="12018" width="5.42578125" style="4" customWidth="1"/>
    <col min="12019" max="12019" width="4.140625" style="4" customWidth="1"/>
    <col min="12020" max="12020" width="5.85546875" style="4" customWidth="1"/>
    <col min="12021" max="12021" width="4.7109375" style="4" customWidth="1"/>
    <col min="12022" max="12022" width="7.42578125" style="4" customWidth="1"/>
    <col min="12023" max="12023" width="8.140625" style="4" customWidth="1"/>
    <col min="12024" max="12024" width="8.28515625" style="4" customWidth="1"/>
    <col min="12025" max="12260" width="9.140625" style="4"/>
    <col min="12261" max="12261" width="3.7109375" style="4" customWidth="1"/>
    <col min="12262" max="12262" width="41.140625" style="4" customWidth="1"/>
    <col min="12263" max="12263" width="4.7109375" style="4" customWidth="1"/>
    <col min="12264" max="12264" width="4.85546875" style="4" customWidth="1"/>
    <col min="12265" max="12265" width="7.140625" style="4" customWidth="1"/>
    <col min="12266" max="12266" width="6.7109375" style="4" customWidth="1"/>
    <col min="12267" max="12267" width="6.5703125" style="4" customWidth="1"/>
    <col min="12268" max="12268" width="6.42578125" style="4" customWidth="1"/>
    <col min="12269" max="12269" width="6" style="4" customWidth="1"/>
    <col min="12270" max="12270" width="7.7109375" style="4" customWidth="1"/>
    <col min="12271" max="12271" width="8" style="4" customWidth="1"/>
    <col min="12272" max="12272" width="7.140625" style="4" customWidth="1"/>
    <col min="12273" max="12273" width="6.5703125" style="4" customWidth="1"/>
    <col min="12274" max="12274" width="5.42578125" style="4" customWidth="1"/>
    <col min="12275" max="12275" width="4.140625" style="4" customWidth="1"/>
    <col min="12276" max="12276" width="5.85546875" style="4" customWidth="1"/>
    <col min="12277" max="12277" width="4.7109375" style="4" customWidth="1"/>
    <col min="12278" max="12278" width="7.42578125" style="4" customWidth="1"/>
    <col min="12279" max="12279" width="8.140625" style="4" customWidth="1"/>
    <col min="12280" max="12280" width="8.28515625" style="4" customWidth="1"/>
    <col min="12281" max="12516" width="9.140625" style="4"/>
    <col min="12517" max="12517" width="3.7109375" style="4" customWidth="1"/>
    <col min="12518" max="12518" width="41.140625" style="4" customWidth="1"/>
    <col min="12519" max="12519" width="4.7109375" style="4" customWidth="1"/>
    <col min="12520" max="12520" width="4.85546875" style="4" customWidth="1"/>
    <col min="12521" max="12521" width="7.140625" style="4" customWidth="1"/>
    <col min="12522" max="12522" width="6.7109375" style="4" customWidth="1"/>
    <col min="12523" max="12523" width="6.5703125" style="4" customWidth="1"/>
    <col min="12524" max="12524" width="6.42578125" style="4" customWidth="1"/>
    <col min="12525" max="12525" width="6" style="4" customWidth="1"/>
    <col min="12526" max="12526" width="7.7109375" style="4" customWidth="1"/>
    <col min="12527" max="12527" width="8" style="4" customWidth="1"/>
    <col min="12528" max="12528" width="7.140625" style="4" customWidth="1"/>
    <col min="12529" max="12529" width="6.5703125" style="4" customWidth="1"/>
    <col min="12530" max="12530" width="5.42578125" style="4" customWidth="1"/>
    <col min="12531" max="12531" width="4.140625" style="4" customWidth="1"/>
    <col min="12532" max="12532" width="5.85546875" style="4" customWidth="1"/>
    <col min="12533" max="12533" width="4.7109375" style="4" customWidth="1"/>
    <col min="12534" max="12534" width="7.42578125" style="4" customWidth="1"/>
    <col min="12535" max="12535" width="8.140625" style="4" customWidth="1"/>
    <col min="12536" max="12536" width="8.28515625" style="4" customWidth="1"/>
    <col min="12537" max="12772" width="9.140625" style="4"/>
    <col min="12773" max="12773" width="3.7109375" style="4" customWidth="1"/>
    <col min="12774" max="12774" width="41.140625" style="4" customWidth="1"/>
    <col min="12775" max="12775" width="4.7109375" style="4" customWidth="1"/>
    <col min="12776" max="12776" width="4.85546875" style="4" customWidth="1"/>
    <col min="12777" max="12777" width="7.140625" style="4" customWidth="1"/>
    <col min="12778" max="12778" width="6.7109375" style="4" customWidth="1"/>
    <col min="12779" max="12779" width="6.5703125" style="4" customWidth="1"/>
    <col min="12780" max="12780" width="6.42578125" style="4" customWidth="1"/>
    <col min="12781" max="12781" width="6" style="4" customWidth="1"/>
    <col min="12782" max="12782" width="7.7109375" style="4" customWidth="1"/>
    <col min="12783" max="12783" width="8" style="4" customWidth="1"/>
    <col min="12784" max="12784" width="7.140625" style="4" customWidth="1"/>
    <col min="12785" max="12785" width="6.5703125" style="4" customWidth="1"/>
    <col min="12786" max="12786" width="5.42578125" style="4" customWidth="1"/>
    <col min="12787" max="12787" width="4.140625" style="4" customWidth="1"/>
    <col min="12788" max="12788" width="5.85546875" style="4" customWidth="1"/>
    <col min="12789" max="12789" width="4.7109375" style="4" customWidth="1"/>
    <col min="12790" max="12790" width="7.42578125" style="4" customWidth="1"/>
    <col min="12791" max="12791" width="8.140625" style="4" customWidth="1"/>
    <col min="12792" max="12792" width="8.28515625" style="4" customWidth="1"/>
    <col min="12793" max="13028" width="9.140625" style="4"/>
    <col min="13029" max="13029" width="3.7109375" style="4" customWidth="1"/>
    <col min="13030" max="13030" width="41.140625" style="4" customWidth="1"/>
    <col min="13031" max="13031" width="4.7109375" style="4" customWidth="1"/>
    <col min="13032" max="13032" width="4.85546875" style="4" customWidth="1"/>
    <col min="13033" max="13033" width="7.140625" style="4" customWidth="1"/>
    <col min="13034" max="13034" width="6.7109375" style="4" customWidth="1"/>
    <col min="13035" max="13035" width="6.5703125" style="4" customWidth="1"/>
    <col min="13036" max="13036" width="6.42578125" style="4" customWidth="1"/>
    <col min="13037" max="13037" width="6" style="4" customWidth="1"/>
    <col min="13038" max="13038" width="7.7109375" style="4" customWidth="1"/>
    <col min="13039" max="13039" width="8" style="4" customWidth="1"/>
    <col min="13040" max="13040" width="7.140625" style="4" customWidth="1"/>
    <col min="13041" max="13041" width="6.5703125" style="4" customWidth="1"/>
    <col min="13042" max="13042" width="5.42578125" style="4" customWidth="1"/>
    <col min="13043" max="13043" width="4.140625" style="4" customWidth="1"/>
    <col min="13044" max="13044" width="5.85546875" style="4" customWidth="1"/>
    <col min="13045" max="13045" width="4.7109375" style="4" customWidth="1"/>
    <col min="13046" max="13046" width="7.42578125" style="4" customWidth="1"/>
    <col min="13047" max="13047" width="8.140625" style="4" customWidth="1"/>
    <col min="13048" max="13048" width="8.28515625" style="4" customWidth="1"/>
    <col min="13049" max="13284" width="9.140625" style="4"/>
    <col min="13285" max="13285" width="3.7109375" style="4" customWidth="1"/>
    <col min="13286" max="13286" width="41.140625" style="4" customWidth="1"/>
    <col min="13287" max="13287" width="4.7109375" style="4" customWidth="1"/>
    <col min="13288" max="13288" width="4.85546875" style="4" customWidth="1"/>
    <col min="13289" max="13289" width="7.140625" style="4" customWidth="1"/>
    <col min="13290" max="13290" width="6.7109375" style="4" customWidth="1"/>
    <col min="13291" max="13291" width="6.5703125" style="4" customWidth="1"/>
    <col min="13292" max="13292" width="6.42578125" style="4" customWidth="1"/>
    <col min="13293" max="13293" width="6" style="4" customWidth="1"/>
    <col min="13294" max="13294" width="7.7109375" style="4" customWidth="1"/>
    <col min="13295" max="13295" width="8" style="4" customWidth="1"/>
    <col min="13296" max="13296" width="7.140625" style="4" customWidth="1"/>
    <col min="13297" max="13297" width="6.5703125" style="4" customWidth="1"/>
    <col min="13298" max="13298" width="5.42578125" style="4" customWidth="1"/>
    <col min="13299" max="13299" width="4.140625" style="4" customWidth="1"/>
    <col min="13300" max="13300" width="5.85546875" style="4" customWidth="1"/>
    <col min="13301" max="13301" width="4.7109375" style="4" customWidth="1"/>
    <col min="13302" max="13302" width="7.42578125" style="4" customWidth="1"/>
    <col min="13303" max="13303" width="8.140625" style="4" customWidth="1"/>
    <col min="13304" max="13304" width="8.28515625" style="4" customWidth="1"/>
    <col min="13305" max="13540" width="9.140625" style="4"/>
    <col min="13541" max="13541" width="3.7109375" style="4" customWidth="1"/>
    <col min="13542" max="13542" width="41.140625" style="4" customWidth="1"/>
    <col min="13543" max="13543" width="4.7109375" style="4" customWidth="1"/>
    <col min="13544" max="13544" width="4.85546875" style="4" customWidth="1"/>
    <col min="13545" max="13545" width="7.140625" style="4" customWidth="1"/>
    <col min="13546" max="13546" width="6.7109375" style="4" customWidth="1"/>
    <col min="13547" max="13547" width="6.5703125" style="4" customWidth="1"/>
    <col min="13548" max="13548" width="6.42578125" style="4" customWidth="1"/>
    <col min="13549" max="13549" width="6" style="4" customWidth="1"/>
    <col min="13550" max="13550" width="7.7109375" style="4" customWidth="1"/>
    <col min="13551" max="13551" width="8" style="4" customWidth="1"/>
    <col min="13552" max="13552" width="7.140625" style="4" customWidth="1"/>
    <col min="13553" max="13553" width="6.5703125" style="4" customWidth="1"/>
    <col min="13554" max="13554" width="5.42578125" style="4" customWidth="1"/>
    <col min="13555" max="13555" width="4.140625" style="4" customWidth="1"/>
    <col min="13556" max="13556" width="5.85546875" style="4" customWidth="1"/>
    <col min="13557" max="13557" width="4.7109375" style="4" customWidth="1"/>
    <col min="13558" max="13558" width="7.42578125" style="4" customWidth="1"/>
    <col min="13559" max="13559" width="8.140625" style="4" customWidth="1"/>
    <col min="13560" max="13560" width="8.28515625" style="4" customWidth="1"/>
    <col min="13561" max="13796" width="9.140625" style="4"/>
    <col min="13797" max="13797" width="3.7109375" style="4" customWidth="1"/>
    <col min="13798" max="13798" width="41.140625" style="4" customWidth="1"/>
    <col min="13799" max="13799" width="4.7109375" style="4" customWidth="1"/>
    <col min="13800" max="13800" width="4.85546875" style="4" customWidth="1"/>
    <col min="13801" max="13801" width="7.140625" style="4" customWidth="1"/>
    <col min="13802" max="13802" width="6.7109375" style="4" customWidth="1"/>
    <col min="13803" max="13803" width="6.5703125" style="4" customWidth="1"/>
    <col min="13804" max="13804" width="6.42578125" style="4" customWidth="1"/>
    <col min="13805" max="13805" width="6" style="4" customWidth="1"/>
    <col min="13806" max="13806" width="7.7109375" style="4" customWidth="1"/>
    <col min="13807" max="13807" width="8" style="4" customWidth="1"/>
    <col min="13808" max="13808" width="7.140625" style="4" customWidth="1"/>
    <col min="13809" max="13809" width="6.5703125" style="4" customWidth="1"/>
    <col min="13810" max="13810" width="5.42578125" style="4" customWidth="1"/>
    <col min="13811" max="13811" width="4.140625" style="4" customWidth="1"/>
    <col min="13812" max="13812" width="5.85546875" style="4" customWidth="1"/>
    <col min="13813" max="13813" width="4.7109375" style="4" customWidth="1"/>
    <col min="13814" max="13814" width="7.42578125" style="4" customWidth="1"/>
    <col min="13815" max="13815" width="8.140625" style="4" customWidth="1"/>
    <col min="13816" max="13816" width="8.28515625" style="4" customWidth="1"/>
    <col min="13817" max="14052" width="9.140625" style="4"/>
    <col min="14053" max="14053" width="3.7109375" style="4" customWidth="1"/>
    <col min="14054" max="14054" width="41.140625" style="4" customWidth="1"/>
    <col min="14055" max="14055" width="4.7109375" style="4" customWidth="1"/>
    <col min="14056" max="14056" width="4.85546875" style="4" customWidth="1"/>
    <col min="14057" max="14057" width="7.140625" style="4" customWidth="1"/>
    <col min="14058" max="14058" width="6.7109375" style="4" customWidth="1"/>
    <col min="14059" max="14059" width="6.5703125" style="4" customWidth="1"/>
    <col min="14060" max="14060" width="6.42578125" style="4" customWidth="1"/>
    <col min="14061" max="14061" width="6" style="4" customWidth="1"/>
    <col min="14062" max="14062" width="7.7109375" style="4" customWidth="1"/>
    <col min="14063" max="14063" width="8" style="4" customWidth="1"/>
    <col min="14064" max="14064" width="7.140625" style="4" customWidth="1"/>
    <col min="14065" max="14065" width="6.5703125" style="4" customWidth="1"/>
    <col min="14066" max="14066" width="5.42578125" style="4" customWidth="1"/>
    <col min="14067" max="14067" width="4.140625" style="4" customWidth="1"/>
    <col min="14068" max="14068" width="5.85546875" style="4" customWidth="1"/>
    <col min="14069" max="14069" width="4.7109375" style="4" customWidth="1"/>
    <col min="14070" max="14070" width="7.42578125" style="4" customWidth="1"/>
    <col min="14071" max="14071" width="8.140625" style="4" customWidth="1"/>
    <col min="14072" max="14072" width="8.28515625" style="4" customWidth="1"/>
    <col min="14073" max="14308" width="9.140625" style="4"/>
    <col min="14309" max="14309" width="3.7109375" style="4" customWidth="1"/>
    <col min="14310" max="14310" width="41.140625" style="4" customWidth="1"/>
    <col min="14311" max="14311" width="4.7109375" style="4" customWidth="1"/>
    <col min="14312" max="14312" width="4.85546875" style="4" customWidth="1"/>
    <col min="14313" max="14313" width="7.140625" style="4" customWidth="1"/>
    <col min="14314" max="14314" width="6.7109375" style="4" customWidth="1"/>
    <col min="14315" max="14315" width="6.5703125" style="4" customWidth="1"/>
    <col min="14316" max="14316" width="6.42578125" style="4" customWidth="1"/>
    <col min="14317" max="14317" width="6" style="4" customWidth="1"/>
    <col min="14318" max="14318" width="7.7109375" style="4" customWidth="1"/>
    <col min="14319" max="14319" width="8" style="4" customWidth="1"/>
    <col min="14320" max="14320" width="7.140625" style="4" customWidth="1"/>
    <col min="14321" max="14321" width="6.5703125" style="4" customWidth="1"/>
    <col min="14322" max="14322" width="5.42578125" style="4" customWidth="1"/>
    <col min="14323" max="14323" width="4.140625" style="4" customWidth="1"/>
    <col min="14324" max="14324" width="5.85546875" style="4" customWidth="1"/>
    <col min="14325" max="14325" width="4.7109375" style="4" customWidth="1"/>
    <col min="14326" max="14326" width="7.42578125" style="4" customWidth="1"/>
    <col min="14327" max="14327" width="8.140625" style="4" customWidth="1"/>
    <col min="14328" max="14328" width="8.28515625" style="4" customWidth="1"/>
    <col min="14329" max="14564" width="9.140625" style="4"/>
    <col min="14565" max="14565" width="3.7109375" style="4" customWidth="1"/>
    <col min="14566" max="14566" width="41.140625" style="4" customWidth="1"/>
    <col min="14567" max="14567" width="4.7109375" style="4" customWidth="1"/>
    <col min="14568" max="14568" width="4.85546875" style="4" customWidth="1"/>
    <col min="14569" max="14569" width="7.140625" style="4" customWidth="1"/>
    <col min="14570" max="14570" width="6.7109375" style="4" customWidth="1"/>
    <col min="14571" max="14571" width="6.5703125" style="4" customWidth="1"/>
    <col min="14572" max="14572" width="6.42578125" style="4" customWidth="1"/>
    <col min="14573" max="14573" width="6" style="4" customWidth="1"/>
    <col min="14574" max="14574" width="7.7109375" style="4" customWidth="1"/>
    <col min="14575" max="14575" width="8" style="4" customWidth="1"/>
    <col min="14576" max="14576" width="7.140625" style="4" customWidth="1"/>
    <col min="14577" max="14577" width="6.5703125" style="4" customWidth="1"/>
    <col min="14578" max="14578" width="5.42578125" style="4" customWidth="1"/>
    <col min="14579" max="14579" width="4.140625" style="4" customWidth="1"/>
    <col min="14580" max="14580" width="5.85546875" style="4" customWidth="1"/>
    <col min="14581" max="14581" width="4.7109375" style="4" customWidth="1"/>
    <col min="14582" max="14582" width="7.42578125" style="4" customWidth="1"/>
    <col min="14583" max="14583" width="8.140625" style="4" customWidth="1"/>
    <col min="14584" max="14584" width="8.28515625" style="4" customWidth="1"/>
    <col min="14585" max="14820" width="9.140625" style="4"/>
    <col min="14821" max="14821" width="3.7109375" style="4" customWidth="1"/>
    <col min="14822" max="14822" width="41.140625" style="4" customWidth="1"/>
    <col min="14823" max="14823" width="4.7109375" style="4" customWidth="1"/>
    <col min="14824" max="14824" width="4.85546875" style="4" customWidth="1"/>
    <col min="14825" max="14825" width="7.140625" style="4" customWidth="1"/>
    <col min="14826" max="14826" width="6.7109375" style="4" customWidth="1"/>
    <col min="14827" max="14827" width="6.5703125" style="4" customWidth="1"/>
    <col min="14828" max="14828" width="6.42578125" style="4" customWidth="1"/>
    <col min="14829" max="14829" width="6" style="4" customWidth="1"/>
    <col min="14830" max="14830" width="7.7109375" style="4" customWidth="1"/>
    <col min="14831" max="14831" width="8" style="4" customWidth="1"/>
    <col min="14832" max="14832" width="7.140625" style="4" customWidth="1"/>
    <col min="14833" max="14833" width="6.5703125" style="4" customWidth="1"/>
    <col min="14834" max="14834" width="5.42578125" style="4" customWidth="1"/>
    <col min="14835" max="14835" width="4.140625" style="4" customWidth="1"/>
    <col min="14836" max="14836" width="5.85546875" style="4" customWidth="1"/>
    <col min="14837" max="14837" width="4.7109375" style="4" customWidth="1"/>
    <col min="14838" max="14838" width="7.42578125" style="4" customWidth="1"/>
    <col min="14839" max="14839" width="8.140625" style="4" customWidth="1"/>
    <col min="14840" max="14840" width="8.28515625" style="4" customWidth="1"/>
    <col min="14841" max="15076" width="9.140625" style="4"/>
    <col min="15077" max="15077" width="3.7109375" style="4" customWidth="1"/>
    <col min="15078" max="15078" width="41.140625" style="4" customWidth="1"/>
    <col min="15079" max="15079" width="4.7109375" style="4" customWidth="1"/>
    <col min="15080" max="15080" width="4.85546875" style="4" customWidth="1"/>
    <col min="15081" max="15081" width="7.140625" style="4" customWidth="1"/>
    <col min="15082" max="15082" width="6.7109375" style="4" customWidth="1"/>
    <col min="15083" max="15083" width="6.5703125" style="4" customWidth="1"/>
    <col min="15084" max="15084" width="6.42578125" style="4" customWidth="1"/>
    <col min="15085" max="15085" width="6" style="4" customWidth="1"/>
    <col min="15086" max="15086" width="7.7109375" style="4" customWidth="1"/>
    <col min="15087" max="15087" width="8" style="4" customWidth="1"/>
    <col min="15088" max="15088" width="7.140625" style="4" customWidth="1"/>
    <col min="15089" max="15089" width="6.5703125" style="4" customWidth="1"/>
    <col min="15090" max="15090" width="5.42578125" style="4" customWidth="1"/>
    <col min="15091" max="15091" width="4.140625" style="4" customWidth="1"/>
    <col min="15092" max="15092" width="5.85546875" style="4" customWidth="1"/>
    <col min="15093" max="15093" width="4.7109375" style="4" customWidth="1"/>
    <col min="15094" max="15094" width="7.42578125" style="4" customWidth="1"/>
    <col min="15095" max="15095" width="8.140625" style="4" customWidth="1"/>
    <col min="15096" max="15096" width="8.28515625" style="4" customWidth="1"/>
    <col min="15097" max="15332" width="9.140625" style="4"/>
    <col min="15333" max="15333" width="3.7109375" style="4" customWidth="1"/>
    <col min="15334" max="15334" width="41.140625" style="4" customWidth="1"/>
    <col min="15335" max="15335" width="4.7109375" style="4" customWidth="1"/>
    <col min="15336" max="15336" width="4.85546875" style="4" customWidth="1"/>
    <col min="15337" max="15337" width="7.140625" style="4" customWidth="1"/>
    <col min="15338" max="15338" width="6.7109375" style="4" customWidth="1"/>
    <col min="15339" max="15339" width="6.5703125" style="4" customWidth="1"/>
    <col min="15340" max="15340" width="6.42578125" style="4" customWidth="1"/>
    <col min="15341" max="15341" width="6" style="4" customWidth="1"/>
    <col min="15342" max="15342" width="7.7109375" style="4" customWidth="1"/>
    <col min="15343" max="15343" width="8" style="4" customWidth="1"/>
    <col min="15344" max="15344" width="7.140625" style="4" customWidth="1"/>
    <col min="15345" max="15345" width="6.5703125" style="4" customWidth="1"/>
    <col min="15346" max="15346" width="5.42578125" style="4" customWidth="1"/>
    <col min="15347" max="15347" width="4.140625" style="4" customWidth="1"/>
    <col min="15348" max="15348" width="5.85546875" style="4" customWidth="1"/>
    <col min="15349" max="15349" width="4.7109375" style="4" customWidth="1"/>
    <col min="15350" max="15350" width="7.42578125" style="4" customWidth="1"/>
    <col min="15351" max="15351" width="8.140625" style="4" customWidth="1"/>
    <col min="15352" max="15352" width="8.28515625" style="4" customWidth="1"/>
    <col min="15353" max="15588" width="9.140625" style="4"/>
    <col min="15589" max="15589" width="3.7109375" style="4" customWidth="1"/>
    <col min="15590" max="15590" width="41.140625" style="4" customWidth="1"/>
    <col min="15591" max="15591" width="4.7109375" style="4" customWidth="1"/>
    <col min="15592" max="15592" width="4.85546875" style="4" customWidth="1"/>
    <col min="15593" max="15593" width="7.140625" style="4" customWidth="1"/>
    <col min="15594" max="15594" width="6.7109375" style="4" customWidth="1"/>
    <col min="15595" max="15595" width="6.5703125" style="4" customWidth="1"/>
    <col min="15596" max="15596" width="6.42578125" style="4" customWidth="1"/>
    <col min="15597" max="15597" width="6" style="4" customWidth="1"/>
    <col min="15598" max="15598" width="7.7109375" style="4" customWidth="1"/>
    <col min="15599" max="15599" width="8" style="4" customWidth="1"/>
    <col min="15600" max="15600" width="7.140625" style="4" customWidth="1"/>
    <col min="15601" max="15601" width="6.5703125" style="4" customWidth="1"/>
    <col min="15602" max="15602" width="5.42578125" style="4" customWidth="1"/>
    <col min="15603" max="15603" width="4.140625" style="4" customWidth="1"/>
    <col min="15604" max="15604" width="5.85546875" style="4" customWidth="1"/>
    <col min="15605" max="15605" width="4.7109375" style="4" customWidth="1"/>
    <col min="15606" max="15606" width="7.42578125" style="4" customWidth="1"/>
    <col min="15607" max="15607" width="8.140625" style="4" customWidth="1"/>
    <col min="15608" max="15608" width="8.28515625" style="4" customWidth="1"/>
    <col min="15609" max="15844" width="9.140625" style="4"/>
    <col min="15845" max="15845" width="3.7109375" style="4" customWidth="1"/>
    <col min="15846" max="15846" width="41.140625" style="4" customWidth="1"/>
    <col min="15847" max="15847" width="4.7109375" style="4" customWidth="1"/>
    <col min="15848" max="15848" width="4.85546875" style="4" customWidth="1"/>
    <col min="15849" max="15849" width="7.140625" style="4" customWidth="1"/>
    <col min="15850" max="15850" width="6.7109375" style="4" customWidth="1"/>
    <col min="15851" max="15851" width="6.5703125" style="4" customWidth="1"/>
    <col min="15852" max="15852" width="6.42578125" style="4" customWidth="1"/>
    <col min="15853" max="15853" width="6" style="4" customWidth="1"/>
    <col min="15854" max="15854" width="7.7109375" style="4" customWidth="1"/>
    <col min="15855" max="15855" width="8" style="4" customWidth="1"/>
    <col min="15856" max="15856" width="7.140625" style="4" customWidth="1"/>
    <col min="15857" max="15857" width="6.5703125" style="4" customWidth="1"/>
    <col min="15858" max="15858" width="5.42578125" style="4" customWidth="1"/>
    <col min="15859" max="15859" width="4.140625" style="4" customWidth="1"/>
    <col min="15860" max="15860" width="5.85546875" style="4" customWidth="1"/>
    <col min="15861" max="15861" width="4.7109375" style="4" customWidth="1"/>
    <col min="15862" max="15862" width="7.42578125" style="4" customWidth="1"/>
    <col min="15863" max="15863" width="8.140625" style="4" customWidth="1"/>
    <col min="15864" max="15864" width="8.28515625" style="4" customWidth="1"/>
    <col min="15865" max="16100" width="9.140625" style="4"/>
    <col min="16101" max="16101" width="3.7109375" style="4" customWidth="1"/>
    <col min="16102" max="16102" width="41.140625" style="4" customWidth="1"/>
    <col min="16103" max="16103" width="4.7109375" style="4" customWidth="1"/>
    <col min="16104" max="16104" width="4.85546875" style="4" customWidth="1"/>
    <col min="16105" max="16105" width="7.140625" style="4" customWidth="1"/>
    <col min="16106" max="16106" width="6.7109375" style="4" customWidth="1"/>
    <col min="16107" max="16107" width="6.5703125" style="4" customWidth="1"/>
    <col min="16108" max="16108" width="6.42578125" style="4" customWidth="1"/>
    <col min="16109" max="16109" width="6" style="4" customWidth="1"/>
    <col min="16110" max="16110" width="7.7109375" style="4" customWidth="1"/>
    <col min="16111" max="16111" width="8" style="4" customWidth="1"/>
    <col min="16112" max="16112" width="7.140625" style="4" customWidth="1"/>
    <col min="16113" max="16113" width="6.5703125" style="4" customWidth="1"/>
    <col min="16114" max="16114" width="5.42578125" style="4" customWidth="1"/>
    <col min="16115" max="16115" width="4.140625" style="4" customWidth="1"/>
    <col min="16116" max="16116" width="5.85546875" style="4" customWidth="1"/>
    <col min="16117" max="16117" width="4.7109375" style="4" customWidth="1"/>
    <col min="16118" max="16118" width="7.42578125" style="4" customWidth="1"/>
    <col min="16119" max="16119" width="8.140625" style="4" customWidth="1"/>
    <col min="16120" max="16120" width="8.28515625" style="4" customWidth="1"/>
    <col min="16121" max="16384" width="9.140625" style="4"/>
  </cols>
  <sheetData>
    <row r="1" spans="1:7" x14ac:dyDescent="0.25">
      <c r="A1" s="1"/>
      <c r="B1" s="2"/>
      <c r="C1" s="2"/>
      <c r="D1" s="2"/>
      <c r="E1" s="2"/>
      <c r="F1" s="2"/>
      <c r="G1" s="3" t="s">
        <v>653</v>
      </c>
    </row>
    <row r="2" spans="1:7" x14ac:dyDescent="0.25">
      <c r="A2" s="1"/>
      <c r="B2" s="2"/>
      <c r="C2" s="2"/>
      <c r="D2" s="2"/>
      <c r="E2" s="2"/>
      <c r="F2" s="2"/>
      <c r="G2" s="2"/>
    </row>
    <row r="3" spans="1:7" x14ac:dyDescent="0.25">
      <c r="A3" s="1103" t="s">
        <v>1046</v>
      </c>
      <c r="B3" s="1103"/>
      <c r="C3" s="1103"/>
      <c r="D3" s="1103"/>
      <c r="E3" s="1103"/>
      <c r="F3" s="1103"/>
      <c r="G3" s="1103"/>
    </row>
    <row r="4" spans="1:7" x14ac:dyDescent="0.25">
      <c r="A4" s="5"/>
      <c r="B4" s="5"/>
      <c r="C4" s="5"/>
      <c r="D4" s="5"/>
      <c r="E4" s="5"/>
      <c r="F4" s="5"/>
      <c r="G4" s="5"/>
    </row>
    <row r="5" spans="1:7" ht="58.5" customHeight="1" x14ac:dyDescent="0.25">
      <c r="A5" s="348" t="s">
        <v>34</v>
      </c>
      <c r="B5" s="348" t="s">
        <v>240</v>
      </c>
      <c r="C5" s="349" t="s">
        <v>1166</v>
      </c>
      <c r="D5" s="348" t="s">
        <v>1167</v>
      </c>
      <c r="E5" s="349" t="s">
        <v>1168</v>
      </c>
      <c r="F5" s="348" t="s">
        <v>1169</v>
      </c>
      <c r="G5" s="348" t="s">
        <v>1170</v>
      </c>
    </row>
    <row r="6" spans="1:7" ht="36" customHeight="1" x14ac:dyDescent="0.25">
      <c r="A6" s="344"/>
      <c r="B6" s="345" t="s">
        <v>3</v>
      </c>
      <c r="C6" s="30">
        <v>0.95177503027888144</v>
      </c>
      <c r="D6" s="18">
        <v>1.0332410859191148</v>
      </c>
      <c r="E6" s="24">
        <v>0.84011874469889736</v>
      </c>
      <c r="F6" s="115">
        <v>0.93070844979996858</v>
      </c>
      <c r="G6" s="115" t="s">
        <v>1162</v>
      </c>
    </row>
    <row r="7" spans="1:7" ht="30.75" customHeight="1" x14ac:dyDescent="0.25">
      <c r="A7" s="342">
        <v>1</v>
      </c>
      <c r="B7" s="183" t="s">
        <v>1006</v>
      </c>
      <c r="C7" s="18">
        <v>0.99509803921568618</v>
      </c>
      <c r="D7" s="18">
        <v>1.1694938820912124</v>
      </c>
      <c r="E7" s="19">
        <v>0.88805970149253732</v>
      </c>
      <c r="F7" s="25">
        <v>1.0081731660190183</v>
      </c>
      <c r="G7" s="343" t="s">
        <v>1165</v>
      </c>
    </row>
    <row r="8" spans="1:7" s="16" customFormat="1" ht="30.75" customHeight="1" x14ac:dyDescent="0.25">
      <c r="A8" s="342">
        <v>2</v>
      </c>
      <c r="B8" s="183" t="s">
        <v>1007</v>
      </c>
      <c r="C8" s="18">
        <v>1</v>
      </c>
      <c r="D8" s="18">
        <v>1.0709806202940646</v>
      </c>
      <c r="E8" s="19">
        <v>0.890625</v>
      </c>
      <c r="F8" s="25">
        <v>0.97606196710292248</v>
      </c>
      <c r="G8" s="343" t="s">
        <v>1165</v>
      </c>
    </row>
    <row r="9" spans="1:7" ht="30.75" customHeight="1" collapsed="1" x14ac:dyDescent="0.25">
      <c r="A9" s="342">
        <v>3</v>
      </c>
      <c r="B9" s="183" t="s">
        <v>1031</v>
      </c>
      <c r="C9" s="18">
        <v>0.98769230769230776</v>
      </c>
      <c r="D9" s="18">
        <v>1.0015648218109703</v>
      </c>
      <c r="E9" s="30">
        <v>0.95238095238095233</v>
      </c>
      <c r="F9" s="115">
        <v>0.96968871327486528</v>
      </c>
      <c r="G9" s="114" t="s">
        <v>1162</v>
      </c>
    </row>
    <row r="10" spans="1:7" ht="30.75" customHeight="1" x14ac:dyDescent="0.25">
      <c r="A10" s="342">
        <v>4</v>
      </c>
      <c r="B10" s="183" t="s">
        <v>1002</v>
      </c>
      <c r="C10" s="30">
        <v>0.96927466338447144</v>
      </c>
      <c r="D10" s="18">
        <v>1.0962192963021524</v>
      </c>
      <c r="E10" s="19">
        <v>0.86440677966101698</v>
      </c>
      <c r="F10" s="115">
        <v>0.96650152560245073</v>
      </c>
      <c r="G10" s="114" t="s">
        <v>1162</v>
      </c>
    </row>
    <row r="11" spans="1:7" ht="30.75" customHeight="1" x14ac:dyDescent="0.25">
      <c r="A11" s="342">
        <v>5</v>
      </c>
      <c r="B11" s="183" t="s">
        <v>1001</v>
      </c>
      <c r="C11" s="18">
        <v>0.97065157065157071</v>
      </c>
      <c r="D11" s="18">
        <v>1.0530191385452066</v>
      </c>
      <c r="E11" s="19">
        <v>0.89754098360655743</v>
      </c>
      <c r="F11" s="115">
        <v>0.96339151394858846</v>
      </c>
      <c r="G11" s="115" t="s">
        <v>1162</v>
      </c>
    </row>
    <row r="12" spans="1:7" ht="30.75" customHeight="1" x14ac:dyDescent="0.25">
      <c r="A12" s="342">
        <v>6</v>
      </c>
      <c r="B12" s="183" t="s">
        <v>1032</v>
      </c>
      <c r="C12" s="18">
        <v>0.98501400560224095</v>
      </c>
      <c r="D12" s="18">
        <v>1.0068906602103183</v>
      </c>
      <c r="E12" s="19">
        <v>0.87916666666666665</v>
      </c>
      <c r="F12" s="115">
        <v>0.9451242660876169</v>
      </c>
      <c r="G12" s="115" t="s">
        <v>1162</v>
      </c>
    </row>
    <row r="13" spans="1:7" ht="30.75" customHeight="1" x14ac:dyDescent="0.25">
      <c r="A13" s="342">
        <v>7</v>
      </c>
      <c r="B13" s="183" t="s">
        <v>1003</v>
      </c>
      <c r="C13" s="18">
        <v>0.99246710526315784</v>
      </c>
      <c r="D13" s="30">
        <v>0.94838620056742085</v>
      </c>
      <c r="E13" s="30">
        <v>0.92198581560283688</v>
      </c>
      <c r="F13" s="115">
        <v>0.94187033723853741</v>
      </c>
      <c r="G13" s="114" t="s">
        <v>1162</v>
      </c>
    </row>
    <row r="14" spans="1:7" ht="30.75" customHeight="1" x14ac:dyDescent="0.25">
      <c r="A14" s="342">
        <v>8</v>
      </c>
      <c r="B14" s="183" t="s">
        <v>1029</v>
      </c>
      <c r="C14" s="19">
        <v>0.90029509874306524</v>
      </c>
      <c r="D14" s="18">
        <v>1.0513186864217758</v>
      </c>
      <c r="E14" s="19">
        <v>0.8833333333333333</v>
      </c>
      <c r="F14" s="115">
        <v>0.93671673653720777</v>
      </c>
      <c r="G14" s="114" t="s">
        <v>1162</v>
      </c>
    </row>
    <row r="15" spans="1:7" ht="30.75" customHeight="1" x14ac:dyDescent="0.25">
      <c r="A15" s="342">
        <v>9</v>
      </c>
      <c r="B15" s="183" t="s">
        <v>1000</v>
      </c>
      <c r="C15" s="30">
        <v>0.94696104326659758</v>
      </c>
      <c r="D15" s="18">
        <v>1.0357435115776155</v>
      </c>
      <c r="E15" s="19">
        <v>0.85599999999999998</v>
      </c>
      <c r="F15" s="115">
        <v>0.93569854203214464</v>
      </c>
      <c r="G15" s="114" t="s">
        <v>1162</v>
      </c>
    </row>
    <row r="16" spans="1:7" ht="30.75" customHeight="1" x14ac:dyDescent="0.25">
      <c r="A16" s="342">
        <v>10</v>
      </c>
      <c r="B16" s="183" t="s">
        <v>1005</v>
      </c>
      <c r="C16" s="30">
        <v>0.97503640841633876</v>
      </c>
      <c r="D16" s="18">
        <v>1.0996414429176373</v>
      </c>
      <c r="E16" s="24">
        <v>0.76623376623376627</v>
      </c>
      <c r="F16" s="115">
        <v>0.9350672457278929</v>
      </c>
      <c r="G16" s="115" t="s">
        <v>1162</v>
      </c>
    </row>
    <row r="17" spans="1:7" ht="30.75" customHeight="1" x14ac:dyDescent="0.25">
      <c r="A17" s="342">
        <v>11</v>
      </c>
      <c r="B17" s="183" t="s">
        <v>1025</v>
      </c>
      <c r="C17" s="30">
        <v>0.95079968644977697</v>
      </c>
      <c r="D17" s="18">
        <v>1.0394289106498751</v>
      </c>
      <c r="E17" s="24">
        <v>0.81730769230769229</v>
      </c>
      <c r="F17" s="115">
        <v>0.92459771697008164</v>
      </c>
      <c r="G17" s="114" t="s">
        <v>1162</v>
      </c>
    </row>
    <row r="18" spans="1:7" ht="30.75" customHeight="1" x14ac:dyDescent="0.25">
      <c r="A18" s="342">
        <v>12</v>
      </c>
      <c r="B18" s="183" t="s">
        <v>1026</v>
      </c>
      <c r="C18" s="19">
        <v>0.95593929879644168</v>
      </c>
      <c r="D18" s="18">
        <v>1.0145121486714512</v>
      </c>
      <c r="E18" s="24">
        <v>0.83333333333333337</v>
      </c>
      <c r="F18" s="115">
        <v>0.9230277083406071</v>
      </c>
      <c r="G18" s="114" t="s">
        <v>1162</v>
      </c>
    </row>
    <row r="19" spans="1:7" ht="30.75" customHeight="1" x14ac:dyDescent="0.25">
      <c r="A19" s="342">
        <v>13</v>
      </c>
      <c r="B19" s="183" t="s">
        <v>1030</v>
      </c>
      <c r="C19" s="30">
        <v>0.92659807546617501</v>
      </c>
      <c r="D19" s="18">
        <v>0.98438674312099617</v>
      </c>
      <c r="E19" s="24">
        <v>0.81818181818181823</v>
      </c>
      <c r="F19" s="26">
        <v>0.89837841909583749</v>
      </c>
      <c r="G19" s="26" t="s">
        <v>1164</v>
      </c>
    </row>
    <row r="20" spans="1:7" ht="30.75" customHeight="1" x14ac:dyDescent="0.25">
      <c r="A20" s="342">
        <v>14</v>
      </c>
      <c r="B20" s="183" t="s">
        <v>1004</v>
      </c>
      <c r="C20" s="19">
        <v>0.89322946160753958</v>
      </c>
      <c r="D20" s="18">
        <v>1.028338249111437</v>
      </c>
      <c r="E20" s="24">
        <v>0.77419354838709675</v>
      </c>
      <c r="F20" s="26">
        <v>0.88835496760674859</v>
      </c>
      <c r="G20" s="26" t="s">
        <v>1164</v>
      </c>
    </row>
    <row r="21" spans="1:7" ht="30.75" customHeight="1" x14ac:dyDescent="0.25">
      <c r="A21" s="342">
        <v>15</v>
      </c>
      <c r="B21" s="183" t="s">
        <v>1028</v>
      </c>
      <c r="C21" s="30">
        <v>0.94031528701650657</v>
      </c>
      <c r="D21" s="19">
        <v>0.8615226183710728</v>
      </c>
      <c r="E21" s="19">
        <v>0.8529411764705882</v>
      </c>
      <c r="F21" s="26">
        <v>0.8716569142995334</v>
      </c>
      <c r="G21" s="26" t="s">
        <v>1164</v>
      </c>
    </row>
    <row r="22" spans="1:7" ht="30.75" customHeight="1" x14ac:dyDescent="0.25">
      <c r="A22" s="342">
        <v>16</v>
      </c>
      <c r="B22" s="183" t="s">
        <v>1027</v>
      </c>
      <c r="C22" s="19">
        <v>0.83902843289022799</v>
      </c>
      <c r="D22" s="18">
        <v>1.0704104440426321</v>
      </c>
      <c r="E22" s="24">
        <v>0.59411764705882353</v>
      </c>
      <c r="F22" s="347">
        <v>0.82379336175257778</v>
      </c>
      <c r="G22" s="133" t="s">
        <v>1163</v>
      </c>
    </row>
    <row r="24" spans="1:7" x14ac:dyDescent="0.25">
      <c r="A24" s="28" t="s">
        <v>271</v>
      </c>
    </row>
    <row r="28" spans="1:7" ht="30" customHeight="1" x14ac:dyDescent="0.25"/>
  </sheetData>
  <mergeCells count="1">
    <mergeCell ref="A3:G3"/>
  </mergeCells>
  <phoneticPr fontId="70" type="noConversion"/>
  <conditionalFormatting sqref="G8">
    <cfRule type="colorScale" priority="4">
      <colorScale>
        <cfvo type="min"/>
        <cfvo type="percentile" val="50"/>
        <cfvo type="max"/>
        <color rgb="FFF8696B"/>
        <color rgb="FFFFEB84"/>
        <color rgb="FF63BE7B"/>
      </colorScale>
    </cfRule>
  </conditionalFormatting>
  <conditionalFormatting sqref="E9 G6 G9:G22">
    <cfRule type="colorScale" priority="3044">
      <colorScale>
        <cfvo type="min"/>
        <cfvo type="percentile" val="50"/>
        <cfvo type="max"/>
        <color rgb="FFF8696B"/>
        <color rgb="FFFFEB84"/>
        <color rgb="FF63BE7B"/>
      </colorScale>
    </cfRule>
  </conditionalFormatting>
  <pageMargins left="0.7" right="0.7" top="0.75" bottom="0.75" header="0.3" footer="0.3"/>
  <pageSetup paperSize="9" scale="47" orientation="landscape" r:id="rId1"/>
  <drawing r:id="rId2"/>
  <legacyDrawing r:id="rId3"/>
  <oleObjects>
    <mc:AlternateContent xmlns:mc="http://schemas.openxmlformats.org/markup-compatibility/2006">
      <mc:Choice Requires="x14">
        <oleObject progId="Excel.Chart.8" shapeId="11265" r:id="rId4">
          <objectPr defaultSize="0" autoPict="0" r:id="rId5">
            <anchor moveWithCells="1" sizeWithCells="1">
              <from>
                <xdr:col>7</xdr:col>
                <xdr:colOff>0</xdr:colOff>
                <xdr:row>9</xdr:row>
                <xdr:rowOff>0</xdr:rowOff>
              </from>
              <to>
                <xdr:col>7</xdr:col>
                <xdr:colOff>0</xdr:colOff>
                <xdr:row>11</xdr:row>
                <xdr:rowOff>0</xdr:rowOff>
              </to>
            </anchor>
          </objectPr>
        </oleObject>
      </mc:Choice>
      <mc:Fallback>
        <oleObject progId="Excel.Chart.8" shapeId="11265" r:id="rId4"/>
      </mc:Fallback>
    </mc:AlternateContent>
    <mc:AlternateContent xmlns:mc="http://schemas.openxmlformats.org/markup-compatibility/2006">
      <mc:Choice Requires="x14">
        <oleObject progId="Excel.Chart.8" shapeId="11266" r:id="rId6">
          <objectPr defaultSize="0" autoPict="0" r:id="rId5">
            <anchor moveWithCells="1" sizeWithCells="1">
              <from>
                <xdr:col>7</xdr:col>
                <xdr:colOff>0</xdr:colOff>
                <xdr:row>16</xdr:row>
                <xdr:rowOff>0</xdr:rowOff>
              </from>
              <to>
                <xdr:col>7</xdr:col>
                <xdr:colOff>0</xdr:colOff>
                <xdr:row>21</xdr:row>
                <xdr:rowOff>514350</xdr:rowOff>
              </to>
            </anchor>
          </objectPr>
        </oleObject>
      </mc:Choice>
      <mc:Fallback>
        <oleObject progId="Excel.Chart.8" shapeId="11266" r:id="rId6"/>
      </mc:Fallback>
    </mc:AlternateContent>
    <mc:AlternateContent xmlns:mc="http://schemas.openxmlformats.org/markup-compatibility/2006">
      <mc:Choice Requires="x14">
        <oleObject progId="Excel.Chart.8" shapeId="11267" r:id="rId7">
          <objectPr defaultSize="0" autoPict="0" r:id="rId5">
            <anchor moveWithCells="1" sizeWithCells="1">
              <from>
                <xdr:col>7</xdr:col>
                <xdr:colOff>0</xdr:colOff>
                <xdr:row>16</xdr:row>
                <xdr:rowOff>0</xdr:rowOff>
              </from>
              <to>
                <xdr:col>7</xdr:col>
                <xdr:colOff>0</xdr:colOff>
                <xdr:row>21</xdr:row>
                <xdr:rowOff>514350</xdr:rowOff>
              </to>
            </anchor>
          </objectPr>
        </oleObject>
      </mc:Choice>
      <mc:Fallback>
        <oleObject progId="Excel.Chart.8" shapeId="11267" r:id="rId7"/>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6</vt:i4>
      </vt:variant>
    </vt:vector>
  </HeadingPairs>
  <TitlesOfParts>
    <vt:vector size="11" baseType="lpstr">
      <vt:lpstr>1. Показатели</vt:lpstr>
      <vt:lpstr>2.ПП</vt:lpstr>
      <vt:lpstr>3. ОКС</vt:lpstr>
      <vt:lpstr>4. Оценка</vt:lpstr>
      <vt:lpstr>Лист2</vt:lpstr>
      <vt:lpstr>'1. Показатели'!Заголовки_для_печати</vt:lpstr>
      <vt:lpstr>'2.ПП'!Заголовки_для_печати</vt:lpstr>
      <vt:lpstr>'3. ОКС'!Заголовки_для_печати</vt:lpstr>
      <vt:lpstr>'4. Оценка'!Заголовки_для_печати</vt:lpstr>
      <vt:lpstr>'1. Показатели'!Область_печати</vt:lpstr>
      <vt:lpstr>'4. Оценка'!Область_печати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odmitrieva</dc:creator>
  <cp:lastModifiedBy>Мурахтанова Ю.В.</cp:lastModifiedBy>
  <cp:lastPrinted>2025-05-29T11:04:52Z</cp:lastPrinted>
  <dcterms:created xsi:type="dcterms:W3CDTF">2016-05-06T10:02:19Z</dcterms:created>
  <dcterms:modified xsi:type="dcterms:W3CDTF">2025-05-29T11:04:59Z</dcterms:modified>
</cp:coreProperties>
</file>